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3"/>
  <workbookPr autoCompressPictures="0"/>
  <mc:AlternateContent xmlns:mc="http://schemas.openxmlformats.org/markup-compatibility/2006">
    <mc:Choice Requires="x15">
      <x15ac:absPath xmlns:x15ac="http://schemas.microsoft.com/office/spreadsheetml/2010/11/ac" url="https://dtudk-my.sharepoint.com/personal/kmadu_dtu_dk/Documents/Work/GENESIS/prospective LCA/Final LCIs/ssp2_NDC/"/>
    </mc:Choice>
  </mc:AlternateContent>
  <xr:revisionPtr revIDLastSave="53" documentId="13_ncr:1_{D3BE51B0-4BF9-40AE-B5FA-FC3E53D0E29E}" xr6:coauthVersionLast="47" xr6:coauthVersionMax="47" xr10:uidLastSave="{5B1DC37A-7577-4B69-90F3-F5B7FBEF062E}"/>
  <bookViews>
    <workbookView xWindow="-110" yWindow="-110" windowWidth="19420" windowHeight="10300" firstSheet="12" activeTab="12" xr2:uid="{00000000-000D-0000-FFFF-FFFF00000000}"/>
  </bookViews>
  <sheets>
    <sheet name="Use" sheetId="35" r:id="rId1"/>
    <sheet name="Aircraft" sheetId="30" r:id="rId2"/>
    <sheet name="Airframe" sheetId="29" r:id="rId3"/>
    <sheet name="Systems" sheetId="31" r:id="rId4"/>
    <sheet name="Furnishing" sheetId="32" r:id="rId5"/>
    <sheet name="Operative equipment" sheetId="33" r:id="rId6"/>
    <sheet name="H2_production" sheetId="65" r:id="rId7"/>
    <sheet name="SAF" sheetId="72" r:id="rId8"/>
    <sheet name="PP processes" sheetId="73" r:id="rId9"/>
    <sheet name="PP treatment processes" sheetId="74" r:id="rId10"/>
    <sheet name="production of battery Li-S" sheetId="75" r:id="rId11"/>
    <sheet name="battery EoL Li-ion" sheetId="76" r:id="rId12"/>
    <sheet name="PEMFC" sheetId="77" r:id="rId13"/>
    <sheet name="H2_storage" sheetId="78" r:id="rId14"/>
    <sheet name="1. MOTORS AND DRIVES" sheetId="79" r:id="rId15"/>
    <sheet name="2.POWER ELECTRONICS" sheetId="80" r:id="rId16"/>
    <sheet name="2. ALL Waste processes" sheetId="81" r:id="rId17"/>
    <sheet name="2. ALL Driver Board" sheetId="82" r:id="rId18"/>
    <sheet name="2. ALL Logic Board" sheetId="83" r:id="rId19"/>
    <sheet name="2A. DCAC GRID INVERTER" sheetId="84" r:id="rId20"/>
    <sheet name="2A. Reusable" sheetId="85" r:id="rId21"/>
    <sheet name="2A. Cable glands" sheetId="86" r:id="rId22"/>
    <sheet name="2A. Machined casing" sheetId="87" r:id="rId23"/>
    <sheet name="2A. IGBT power module" sheetId="88" r:id="rId24"/>
    <sheet name="2B. ISOLATING DCDC CONVERTER" sheetId="89" r:id="rId25"/>
    <sheet name="2B. Reusable" sheetId="90" r:id="rId26"/>
    <sheet name="2B. Cable glands" sheetId="91" r:id="rId27"/>
    <sheet name="2B. Machined casing" sheetId="92" r:id="rId28"/>
    <sheet name="2B. IGBT power module" sheetId="93" r:id="rId29"/>
    <sheet name="2C. N-ISOLATING DCDC CONVERTER" sheetId="94" r:id="rId30"/>
    <sheet name="2C. Reusable" sheetId="95" r:id="rId31"/>
    <sheet name="2C. Cable glands" sheetId="96" r:id="rId32"/>
    <sheet name="2C. Machined casing" sheetId="97" r:id="rId33"/>
    <sheet name="2C. IGBT power module" sheetId="98" r:id="rId34"/>
    <sheet name="2D. MOTOR DRIVE INVERTER" sheetId="99" r:id="rId35"/>
    <sheet name="2D. Reusable" sheetId="100" r:id="rId36"/>
    <sheet name="2D. Cable glands" sheetId="101" r:id="rId37"/>
    <sheet name="2D. Machined casing" sheetId="102" r:id="rId38"/>
    <sheet name="2D. IGBT power module" sheetId="103" r:id="rId39"/>
    <sheet name="2E. BATTERY DCDC CONVERTER" sheetId="104" r:id="rId40"/>
    <sheet name="2E. Reusable" sheetId="105" r:id="rId41"/>
    <sheet name="2E. Cable glands" sheetId="106" r:id="rId42"/>
    <sheet name="2E. Machined casing" sheetId="107" r:id="rId43"/>
    <sheet name="2E. IGBT power module" sheetId="108" r:id="rId44"/>
    <sheet name="Electrolyzer_construction" sheetId="66" r:id="rId45"/>
    <sheet name="Electrolyzer EoL" sheetId="67" r:id="rId46"/>
    <sheet name="Liquefaction_system_constructio" sheetId="68" r:id="rId47"/>
    <sheet name="Liq_sys_Eol" sheetId="69" r:id="rId48"/>
    <sheet name="H2_transport" sheetId="70" r:id="rId49"/>
    <sheet name="H2_storage_tank_EoL" sheetId="71" r:id="rId50"/>
    <sheet name="Airprot_use" sheetId="36" r:id="rId51"/>
    <sheet name="Airport_construction" sheetId="37" r:id="rId52"/>
    <sheet name="Airport_decommission " sheetId="38" r:id="rId53"/>
    <sheet name="Main_b_charging_station" sheetId="53" r:id="rId54"/>
    <sheet name="converters_b_charging_station" sheetId="54" r:id="rId55"/>
    <sheet name="rests_b_charging_station" sheetId="55" r:id="rId56"/>
    <sheet name="charging station" sheetId="39" r:id="rId57"/>
    <sheet name="A&amp;B Same Processes" sheetId="40" r:id="rId58"/>
    <sheet name="A&amp;B Driver Board " sheetId="41" r:id="rId59"/>
    <sheet name="A&amp;B Logic board" sheetId="42" r:id="rId60"/>
    <sheet name="A. ACDC POWER MODULE " sheetId="43" r:id="rId61"/>
    <sheet name="A.Reused" sheetId="44" r:id="rId62"/>
    <sheet name="A. Cable glands" sheetId="45" r:id="rId63"/>
    <sheet name="A. Machined casing" sheetId="46" r:id="rId64"/>
    <sheet name="A. IGBT power module" sheetId="47" r:id="rId65"/>
    <sheet name="B. DCDC POWER MODULE " sheetId="48" r:id="rId66"/>
    <sheet name="B.Reused" sheetId="49" r:id="rId67"/>
    <sheet name="B. Cable glands" sheetId="50" r:id="rId68"/>
    <sheet name="B. Machined casing" sheetId="51" r:id="rId69"/>
    <sheet name="B. IGBT power module" sheetId="52" r:id="rId70"/>
    <sheet name="MAIN EoL" sheetId="58" r:id="rId71"/>
    <sheet name="Power elec EoL LCI" sheetId="59" r:id="rId72"/>
    <sheet name="motors and drives EoL LCI" sheetId="60" r:id="rId73"/>
    <sheet name="powerplant EoL LCI" sheetId="61" r:id="rId74"/>
    <sheet name="airframe EoL LCI" sheetId="62" r:id="rId75"/>
    <sheet name="H2 storage EoL" sheetId="63" r:id="rId76"/>
    <sheet name="PEMFC EoL" sheetId="64" r:id="rId77"/>
  </sheets>
  <externalReferences>
    <externalReference r:id="rId78"/>
    <externalReference r:id="rId79"/>
    <externalReference r:id="rId80"/>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B35" i="77" l="1"/>
  <c r="AB36" i="77"/>
  <c r="AB37" i="77"/>
  <c r="AB34" i="77"/>
  <c r="AB38" i="77"/>
  <c r="AB39" i="77"/>
  <c r="AB40" i="77"/>
  <c r="AB41" i="77"/>
  <c r="AB42" i="77"/>
  <c r="AB43" i="77"/>
  <c r="AB44" i="77"/>
  <c r="AB45" i="77"/>
  <c r="AB46" i="77"/>
  <c r="AB47" i="77"/>
  <c r="AB48" i="77"/>
  <c r="AB49" i="77"/>
  <c r="AB50" i="77"/>
  <c r="AB51" i="77"/>
  <c r="AB52" i="77"/>
  <c r="AB53" i="77"/>
  <c r="AB54" i="77"/>
  <c r="AB55" i="77"/>
  <c r="AB56" i="77"/>
  <c r="AB57" i="77"/>
  <c r="AB58" i="77"/>
  <c r="AB59" i="77"/>
  <c r="AB60" i="77"/>
  <c r="AB61" i="77"/>
  <c r="AB62" i="77"/>
  <c r="AB63" i="77"/>
  <c r="AB64" i="77"/>
  <c r="AB65" i="77"/>
  <c r="AB66" i="77"/>
  <c r="AB67" i="77"/>
  <c r="AB68" i="77"/>
  <c r="AB69" i="77"/>
  <c r="AB70" i="77"/>
  <c r="AB71" i="77"/>
  <c r="AB72" i="77"/>
  <c r="AB73" i="77"/>
  <c r="AB74" i="77"/>
  <c r="AB75" i="77"/>
  <c r="AB76" i="77"/>
  <c r="AB77" i="77"/>
  <c r="AB78" i="77"/>
  <c r="AB79" i="77"/>
  <c r="AB80" i="77"/>
  <c r="AB81" i="77"/>
  <c r="AB82" i="77"/>
  <c r="AB83" i="77"/>
  <c r="AB84" i="77"/>
  <c r="AB85" i="77"/>
  <c r="AB86" i="77"/>
  <c r="AB87" i="77"/>
  <c r="AB88" i="77"/>
  <c r="AB89" i="77"/>
  <c r="AB90" i="77"/>
  <c r="AB91" i="77"/>
  <c r="AB92" i="77"/>
  <c r="AB93" i="77"/>
  <c r="AB94" i="77"/>
  <c r="AB95" i="77"/>
  <c r="AB96" i="77"/>
  <c r="AB97" i="77"/>
  <c r="AB98" i="77"/>
  <c r="AB99" i="77"/>
  <c r="AB100" i="77"/>
  <c r="AB101" i="77"/>
  <c r="AB102" i="77"/>
  <c r="AB103" i="77"/>
  <c r="AB104" i="77"/>
  <c r="AB105" i="77"/>
  <c r="AB106" i="77"/>
  <c r="AB107" i="77"/>
  <c r="AB108" i="77"/>
  <c r="AB109" i="77"/>
  <c r="AB110" i="77"/>
  <c r="AB111" i="77"/>
  <c r="AB112" i="77"/>
  <c r="AB113" i="77"/>
  <c r="AB114" i="77"/>
  <c r="AB115" i="77"/>
  <c r="AB116" i="77"/>
  <c r="AB117" i="77"/>
  <c r="AB118" i="77"/>
  <c r="AB119" i="77"/>
  <c r="AB120" i="77"/>
  <c r="AB121" i="77"/>
  <c r="AB122" i="77"/>
  <c r="AB123" i="77"/>
  <c r="AB124" i="77"/>
  <c r="AB125" i="77"/>
  <c r="AB126" i="77"/>
  <c r="AB127" i="77"/>
  <c r="AB128" i="77"/>
  <c r="AB129" i="77"/>
  <c r="AB130" i="77"/>
  <c r="AB131" i="77"/>
  <c r="AB132" i="77"/>
  <c r="AB133" i="77"/>
  <c r="AB134" i="77"/>
  <c r="AB135" i="77"/>
  <c r="AB136" i="77"/>
  <c r="AB137" i="77"/>
  <c r="AB138" i="77"/>
  <c r="AB139" i="77"/>
  <c r="AB140" i="77"/>
  <c r="AB141" i="77"/>
  <c r="AB142" i="77"/>
  <c r="AB143" i="77"/>
  <c r="AB144" i="77"/>
  <c r="AB145" i="77"/>
  <c r="AB146" i="77"/>
  <c r="AB147" i="77"/>
  <c r="AB148" i="77"/>
  <c r="AB149" i="77"/>
  <c r="AB150" i="77"/>
  <c r="AB151" i="77"/>
  <c r="AB152" i="77"/>
  <c r="AB153" i="77"/>
  <c r="AB154" i="77"/>
  <c r="AB155" i="77"/>
  <c r="AB156" i="77"/>
  <c r="AB157" i="77"/>
  <c r="AB158" i="77"/>
  <c r="AB159" i="77"/>
  <c r="AB160" i="77"/>
  <c r="AB161" i="77"/>
  <c r="AB162" i="77"/>
  <c r="AB163" i="77"/>
  <c r="AB164" i="77"/>
  <c r="AB165" i="77"/>
  <c r="AB166" i="77"/>
  <c r="AB167" i="77"/>
  <c r="AB168" i="77"/>
  <c r="AB169" i="77"/>
  <c r="AB170" i="77"/>
  <c r="AB171" i="77"/>
  <c r="AB172" i="77"/>
  <c r="AB173" i="77"/>
  <c r="AB174" i="77"/>
  <c r="AB175" i="77"/>
  <c r="AB176" i="77"/>
  <c r="AB177" i="77"/>
  <c r="AB178" i="77"/>
  <c r="AB179" i="77"/>
  <c r="AB180" i="77"/>
  <c r="AB181" i="77"/>
  <c r="AB182" i="77"/>
  <c r="AB183" i="77"/>
  <c r="AB184" i="77"/>
  <c r="AB185" i="77"/>
  <c r="AB186" i="77"/>
  <c r="AB187" i="77"/>
  <c r="AB188" i="77"/>
  <c r="AB189" i="77"/>
  <c r="AB190" i="77"/>
  <c r="AB191" i="77"/>
  <c r="AB192" i="77"/>
  <c r="AB193" i="77"/>
  <c r="AB194" i="77"/>
  <c r="AB195" i="77"/>
  <c r="AB196" i="77"/>
  <c r="AB197" i="77"/>
  <c r="AB198" i="77"/>
  <c r="AB199" i="77"/>
  <c r="AB200" i="77"/>
  <c r="AB201" i="77"/>
  <c r="AB202" i="77"/>
  <c r="AB203" i="77"/>
  <c r="AB204" i="77"/>
  <c r="AB205" i="77"/>
  <c r="AB206" i="77"/>
  <c r="AB207" i="77"/>
  <c r="AB208" i="77"/>
  <c r="AB209" i="77"/>
  <c r="AB210" i="77"/>
  <c r="AB211" i="77"/>
  <c r="AB212" i="77"/>
  <c r="AB213" i="77"/>
  <c r="AB214" i="77"/>
  <c r="AB215" i="77"/>
  <c r="AB216" i="77"/>
  <c r="AB217" i="77"/>
  <c r="AB218" i="77"/>
  <c r="AB219" i="77"/>
  <c r="AB220" i="77"/>
  <c r="AB221" i="77"/>
  <c r="AB222" i="77"/>
  <c r="AB223" i="77"/>
  <c r="AB224" i="77"/>
  <c r="AB225" i="77"/>
  <c r="AB226" i="77"/>
  <c r="AB227" i="77"/>
  <c r="AB228" i="77"/>
  <c r="AB229" i="77"/>
  <c r="AB230" i="77"/>
  <c r="AB231" i="77"/>
  <c r="AB232" i="77"/>
  <c r="AB233" i="77"/>
  <c r="AB234" i="77"/>
  <c r="AB235" i="77"/>
  <c r="AB236" i="77"/>
  <c r="AB237" i="77"/>
  <c r="AB238" i="77"/>
  <c r="AB239" i="77"/>
  <c r="AB240" i="77"/>
  <c r="AB241" i="77"/>
  <c r="AB242" i="77"/>
  <c r="AB243" i="77"/>
  <c r="AB244" i="77"/>
  <c r="AB245" i="77"/>
  <c r="AB246" i="77"/>
  <c r="AB247" i="77"/>
  <c r="AB248" i="77"/>
  <c r="AB249" i="77"/>
  <c r="AB250" i="77"/>
  <c r="AB251" i="77"/>
  <c r="AB252" i="77"/>
  <c r="AB253" i="77"/>
  <c r="AB254" i="77"/>
  <c r="AB255" i="77"/>
  <c r="AB256" i="77"/>
  <c r="AB257" i="77"/>
  <c r="AB258" i="77"/>
  <c r="AB259" i="77"/>
  <c r="AB260" i="77"/>
  <c r="AB261" i="77"/>
  <c r="AB262" i="77"/>
  <c r="AB263" i="77"/>
  <c r="AB264" i="77"/>
  <c r="AB265" i="77"/>
  <c r="AB266" i="77"/>
  <c r="AB267" i="77"/>
  <c r="AB268" i="77"/>
  <c r="AB269" i="77"/>
  <c r="AB270" i="77"/>
  <c r="AB271" i="77"/>
  <c r="AB272" i="77"/>
  <c r="AB273" i="77"/>
  <c r="AB274" i="77"/>
  <c r="AB275" i="77"/>
  <c r="AB276" i="77"/>
  <c r="AB277" i="77"/>
  <c r="AB278" i="77"/>
  <c r="AB279" i="77"/>
  <c r="AB280" i="77"/>
  <c r="AB281" i="77"/>
  <c r="AB282" i="77"/>
  <c r="AB283" i="77"/>
  <c r="AB284" i="77"/>
  <c r="AB285" i="77"/>
  <c r="AB286" i="77"/>
  <c r="AB287" i="77"/>
  <c r="AB288" i="77"/>
  <c r="AB289" i="77"/>
  <c r="AB290" i="77"/>
  <c r="AB291" i="77"/>
  <c r="AB292" i="77"/>
  <c r="AB293" i="77"/>
  <c r="AB294" i="77"/>
  <c r="AB295" i="77"/>
  <c r="AB296" i="77"/>
  <c r="AB297" i="77"/>
  <c r="AB298" i="77"/>
  <c r="AB299" i="77"/>
  <c r="AB300" i="77"/>
  <c r="AB301" i="77"/>
  <c r="AB302" i="77"/>
  <c r="AB303" i="77"/>
  <c r="AB304" i="77"/>
  <c r="AB305" i="77"/>
  <c r="AB306" i="77"/>
  <c r="AB307" i="77"/>
  <c r="AB308" i="77"/>
  <c r="AB309" i="77"/>
  <c r="AB310" i="77"/>
  <c r="AB311" i="77"/>
  <c r="AB312" i="77"/>
  <c r="AB313" i="77"/>
  <c r="AB314" i="77"/>
  <c r="AB315" i="77"/>
  <c r="AB316" i="77"/>
  <c r="AB317" i="77"/>
  <c r="AB318" i="77"/>
  <c r="AB319" i="77"/>
  <c r="AB320" i="77"/>
  <c r="AB321" i="77"/>
  <c r="AB322" i="77"/>
  <c r="AB323" i="77"/>
  <c r="AB324" i="77"/>
  <c r="AB325" i="77"/>
  <c r="AB326" i="77"/>
  <c r="AB327" i="77"/>
  <c r="AB328" i="77"/>
  <c r="AB329" i="77"/>
  <c r="AB330" i="77"/>
  <c r="AB331" i="77"/>
  <c r="AB332" i="77"/>
  <c r="AB333" i="77"/>
  <c r="AB334" i="77"/>
  <c r="AB335" i="77"/>
  <c r="AB336" i="77"/>
  <c r="AB337" i="77"/>
  <c r="AB338" i="77"/>
  <c r="AB339" i="77"/>
  <c r="AB340" i="77"/>
  <c r="AB341" i="77"/>
  <c r="AB342" i="77"/>
  <c r="AB343" i="77"/>
  <c r="AB344" i="77"/>
  <c r="AB345" i="77"/>
  <c r="AB346" i="77"/>
  <c r="AB347" i="77"/>
  <c r="AB348" i="77"/>
  <c r="AB349" i="77"/>
  <c r="AB350" i="77"/>
  <c r="AB351" i="77"/>
  <c r="AB352" i="77"/>
  <c r="AB353" i="77"/>
  <c r="AB354" i="77"/>
  <c r="AB355" i="77"/>
  <c r="AB356" i="77"/>
  <c r="AB357" i="77"/>
  <c r="AB358" i="77"/>
  <c r="AB359" i="77"/>
  <c r="AB360" i="77"/>
  <c r="AB361" i="77"/>
  <c r="AB362" i="77"/>
  <c r="AB363" i="77"/>
  <c r="AB364" i="77"/>
  <c r="AB365" i="77"/>
  <c r="AB366" i="77"/>
  <c r="AB367" i="77"/>
  <c r="AB368" i="77"/>
  <c r="AB369" i="77"/>
  <c r="AB370" i="77"/>
  <c r="AB371" i="77"/>
  <c r="AB372" i="77"/>
  <c r="AB373" i="77"/>
  <c r="AB374" i="77"/>
  <c r="AB375" i="77"/>
  <c r="AB376" i="77"/>
  <c r="AB377" i="77"/>
  <c r="AB378" i="77"/>
  <c r="AB379" i="77"/>
  <c r="AB380" i="77"/>
  <c r="AB381" i="77"/>
  <c r="AB382" i="77"/>
  <c r="AB383" i="77"/>
  <c r="AB384" i="77"/>
  <c r="AB385" i="77"/>
  <c r="AB386" i="77"/>
  <c r="AB387" i="77"/>
  <c r="AB388" i="77"/>
  <c r="AB389" i="77"/>
  <c r="AB390" i="77"/>
  <c r="AB391" i="77"/>
  <c r="AB392" i="77"/>
  <c r="AB393" i="77"/>
  <c r="AB394" i="77"/>
  <c r="AB395" i="77"/>
  <c r="AB396" i="77"/>
  <c r="AB397" i="77"/>
  <c r="AB398" i="77"/>
  <c r="AB399" i="77"/>
  <c r="AB400" i="77"/>
  <c r="AB401" i="77"/>
  <c r="AB402" i="77"/>
  <c r="AB403" i="77"/>
  <c r="AB404" i="77"/>
  <c r="AB405" i="77"/>
  <c r="AB406" i="77"/>
  <c r="AB407" i="77"/>
  <c r="AB408" i="77"/>
  <c r="AB409" i="77"/>
  <c r="AB410" i="77"/>
  <c r="AB411" i="77"/>
  <c r="AB412" i="77"/>
  <c r="AB413" i="77"/>
  <c r="AB414" i="77"/>
  <c r="AB415" i="77"/>
  <c r="AB416" i="77"/>
  <c r="AB417" i="77"/>
  <c r="AB418" i="77"/>
  <c r="AB419" i="77"/>
  <c r="AB420" i="77"/>
  <c r="AB421" i="77"/>
  <c r="AB422" i="77"/>
  <c r="AB423" i="77"/>
  <c r="AB424" i="77"/>
  <c r="AB425" i="77"/>
  <c r="AB426" i="77"/>
  <c r="AB427" i="77"/>
  <c r="AB428" i="77"/>
  <c r="AB429" i="77"/>
  <c r="AB430" i="77"/>
  <c r="AB431" i="77"/>
  <c r="AB432" i="77"/>
  <c r="AB433" i="77"/>
  <c r="AB434" i="77"/>
  <c r="AB435" i="77"/>
  <c r="AB436" i="77"/>
  <c r="AB437" i="77"/>
  <c r="AB438" i="77"/>
  <c r="AB439" i="77"/>
  <c r="AB440" i="77"/>
  <c r="AB441" i="77"/>
  <c r="AB442" i="77"/>
  <c r="AB443" i="77"/>
  <c r="AB444" i="77"/>
  <c r="AB445" i="77"/>
  <c r="AB446" i="77"/>
  <c r="AB447" i="77"/>
  <c r="AB448" i="77"/>
  <c r="AB449" i="77"/>
  <c r="AB450" i="77"/>
  <c r="AB451" i="77"/>
  <c r="AB452" i="77"/>
  <c r="AB453" i="77"/>
  <c r="AB454" i="77"/>
  <c r="AB455" i="77"/>
  <c r="AB456" i="77"/>
  <c r="AB457" i="77"/>
  <c r="AB458" i="77"/>
  <c r="AB459" i="77"/>
  <c r="AB460" i="77"/>
  <c r="AB461" i="77"/>
  <c r="AB462" i="77"/>
  <c r="AB463" i="77"/>
  <c r="AB464" i="77"/>
  <c r="AB465" i="77"/>
  <c r="AB466" i="77"/>
  <c r="AB467" i="77"/>
  <c r="AB468" i="77"/>
  <c r="AB469" i="77"/>
  <c r="AB470" i="77"/>
  <c r="AB471" i="77"/>
  <c r="AB472" i="77"/>
  <c r="AB473" i="77"/>
  <c r="AB474" i="77"/>
  <c r="AB475" i="77"/>
  <c r="AB476" i="77"/>
  <c r="AB477" i="77"/>
  <c r="AB478" i="77"/>
  <c r="AB479" i="77"/>
  <c r="AB480" i="77"/>
  <c r="AB481" i="77"/>
  <c r="AB482" i="77"/>
  <c r="AB483" i="77"/>
  <c r="AB484" i="77"/>
  <c r="AB485" i="77"/>
  <c r="AB486" i="77"/>
  <c r="AB487" i="77"/>
  <c r="AB488" i="77"/>
  <c r="AB489" i="77"/>
  <c r="AB490" i="77"/>
  <c r="AB491" i="77"/>
  <c r="AB492" i="77"/>
  <c r="AB493" i="77"/>
  <c r="AB494" i="77"/>
  <c r="AB495" i="77"/>
  <c r="AB496" i="77"/>
  <c r="AB497" i="77"/>
  <c r="AB498" i="77"/>
  <c r="AB499" i="77"/>
  <c r="AB500" i="77"/>
  <c r="AB501" i="77"/>
  <c r="AB502" i="77"/>
  <c r="AB503" i="77"/>
  <c r="AB504" i="77"/>
  <c r="AB505" i="77"/>
  <c r="AB506" i="77"/>
  <c r="AB507" i="77"/>
  <c r="AB508" i="77"/>
  <c r="AB509" i="77"/>
  <c r="AB510" i="77"/>
  <c r="AB511" i="77"/>
  <c r="AB512" i="77"/>
  <c r="AB513" i="77"/>
  <c r="AB514" i="77"/>
  <c r="AB515" i="77"/>
  <c r="AB516" i="77"/>
  <c r="AB517" i="77"/>
  <c r="AB518" i="77"/>
  <c r="AB519" i="77"/>
  <c r="AB520" i="77"/>
  <c r="AB521" i="77"/>
  <c r="AB522" i="77"/>
  <c r="AB523" i="77"/>
  <c r="AB524" i="77"/>
  <c r="AB525" i="77"/>
  <c r="AB526" i="77"/>
  <c r="AB527" i="77"/>
  <c r="AB528" i="77"/>
  <c r="AB529" i="77"/>
  <c r="AB530" i="77"/>
  <c r="AB531" i="77"/>
  <c r="AB532" i="77"/>
  <c r="AB533" i="77"/>
  <c r="AB534" i="77"/>
  <c r="AB535" i="77"/>
  <c r="AB536" i="77"/>
  <c r="AB537" i="77"/>
  <c r="AB538" i="77"/>
  <c r="AB539" i="77"/>
  <c r="AB540" i="77"/>
  <c r="AB541" i="77"/>
  <c r="AB542" i="77"/>
  <c r="AB543" i="77"/>
  <c r="AB544" i="77"/>
  <c r="AB545" i="77"/>
  <c r="AB546" i="77"/>
  <c r="AB547" i="77"/>
  <c r="AB548" i="77"/>
  <c r="AB549" i="77"/>
  <c r="AB550" i="77"/>
  <c r="AB551" i="77"/>
  <c r="AB552" i="77"/>
  <c r="AB553" i="77"/>
  <c r="AB554" i="77"/>
  <c r="AB555" i="77"/>
  <c r="AB556" i="77"/>
  <c r="AB557" i="77"/>
  <c r="AB558" i="77"/>
  <c r="AB559" i="77"/>
  <c r="AB560" i="77"/>
  <c r="AB561" i="77"/>
  <c r="AB562" i="77"/>
  <c r="AB563" i="77"/>
  <c r="AB564" i="77"/>
  <c r="AB565" i="77"/>
  <c r="AB13" i="77"/>
  <c r="AB14" i="77"/>
  <c r="AB15" i="77"/>
  <c r="AB16" i="77"/>
  <c r="AB17" i="77"/>
  <c r="AB18" i="77"/>
  <c r="AB19" i="77"/>
  <c r="AB20" i="77"/>
  <c r="AB21" i="77"/>
  <c r="AB22" i="77"/>
  <c r="AB23" i="77"/>
  <c r="AB24" i="77"/>
  <c r="AB25" i="77"/>
  <c r="AB26" i="77"/>
  <c r="AB27" i="77"/>
  <c r="AB28" i="77"/>
  <c r="AB29" i="77"/>
  <c r="AB30" i="77"/>
  <c r="AB31" i="77"/>
  <c r="AB32" i="77"/>
  <c r="AB33" i="77"/>
  <c r="AB12" i="77"/>
  <c r="I14" i="48"/>
  <c r="I15" i="48"/>
  <c r="I16" i="48"/>
  <c r="I17" i="48"/>
  <c r="I18" i="48"/>
  <c r="I19" i="48"/>
  <c r="I20" i="48"/>
  <c r="I21" i="48"/>
  <c r="I22" i="48"/>
  <c r="I23" i="48"/>
  <c r="I24" i="48"/>
  <c r="I25" i="48"/>
  <c r="I26" i="48"/>
  <c r="I27" i="48"/>
  <c r="I28" i="48"/>
  <c r="I29" i="48"/>
  <c r="I30" i="48"/>
  <c r="I13" i="48"/>
  <c r="I14" i="43"/>
  <c r="I15" i="43"/>
  <c r="I16" i="43"/>
  <c r="I17" i="43"/>
  <c r="I18" i="43"/>
  <c r="I19" i="43"/>
  <c r="I20" i="43"/>
  <c r="I21" i="43"/>
  <c r="I22" i="43"/>
  <c r="I23" i="43"/>
  <c r="I24" i="43"/>
  <c r="I25" i="43"/>
  <c r="I26" i="43"/>
  <c r="I27" i="43"/>
  <c r="I28" i="43"/>
  <c r="I29" i="43"/>
  <c r="I30" i="43"/>
  <c r="I13" i="43"/>
  <c r="I14" i="104"/>
  <c r="I15" i="104"/>
  <c r="I16" i="104"/>
  <c r="I17" i="104"/>
  <c r="I18" i="104"/>
  <c r="I19" i="104"/>
  <c r="I20" i="104"/>
  <c r="I21" i="104"/>
  <c r="I22" i="104"/>
  <c r="I23" i="104"/>
  <c r="I24" i="104"/>
  <c r="I25" i="104"/>
  <c r="I26" i="104"/>
  <c r="I27" i="104"/>
  <c r="I28" i="104"/>
  <c r="I29" i="104"/>
  <c r="I30" i="104"/>
  <c r="I13" i="104"/>
  <c r="I14" i="99"/>
  <c r="I15" i="99"/>
  <c r="I16" i="99"/>
  <c r="I17" i="99"/>
  <c r="I18" i="99"/>
  <c r="I19" i="99"/>
  <c r="I20" i="99"/>
  <c r="I21" i="99"/>
  <c r="I22" i="99"/>
  <c r="I23" i="99"/>
  <c r="I24" i="99"/>
  <c r="I25" i="99"/>
  <c r="I26" i="99"/>
  <c r="I27" i="99"/>
  <c r="I28" i="99"/>
  <c r="I29" i="99"/>
  <c r="I30" i="99"/>
  <c r="I13" i="99"/>
  <c r="I14" i="94"/>
  <c r="I15" i="94"/>
  <c r="I16" i="94"/>
  <c r="I17" i="94"/>
  <c r="I18" i="94"/>
  <c r="I19" i="94"/>
  <c r="I20" i="94"/>
  <c r="I21" i="94"/>
  <c r="I22" i="94"/>
  <c r="I23" i="94"/>
  <c r="I24" i="94"/>
  <c r="I25" i="94"/>
  <c r="I26" i="94"/>
  <c r="I27" i="94"/>
  <c r="I28" i="94"/>
  <c r="I29" i="94"/>
  <c r="I30" i="94"/>
  <c r="I13" i="94"/>
  <c r="I14" i="89"/>
  <c r="I15" i="89"/>
  <c r="I16" i="89"/>
  <c r="I17" i="89"/>
  <c r="I18" i="89"/>
  <c r="I19" i="89"/>
  <c r="I20" i="89"/>
  <c r="I21" i="89"/>
  <c r="I22" i="89"/>
  <c r="I23" i="89"/>
  <c r="I24" i="89"/>
  <c r="I25" i="89"/>
  <c r="I26" i="89"/>
  <c r="I27" i="89"/>
  <c r="I28" i="89"/>
  <c r="I29" i="89"/>
  <c r="I30" i="89"/>
  <c r="I13" i="89"/>
  <c r="I14" i="84"/>
  <c r="I15" i="84"/>
  <c r="I16" i="84"/>
  <c r="I17" i="84"/>
  <c r="I18" i="84"/>
  <c r="I19" i="84"/>
  <c r="I20" i="84"/>
  <c r="I21" i="84"/>
  <c r="I22" i="84"/>
  <c r="I23" i="84"/>
  <c r="I24" i="84"/>
  <c r="I25" i="84"/>
  <c r="I26" i="84"/>
  <c r="I27" i="84"/>
  <c r="I28" i="84"/>
  <c r="I29" i="84"/>
  <c r="I13" i="84"/>
  <c r="N105" i="76"/>
  <c r="M105" i="76"/>
  <c r="N44" i="76"/>
  <c r="M44" i="76"/>
  <c r="N43" i="76"/>
  <c r="M43" i="76"/>
  <c r="N40" i="76"/>
  <c r="M40" i="76"/>
  <c r="B35" i="35" l="1"/>
  <c r="B19" i="35"/>
  <c r="I362" i="108"/>
  <c r="B362" i="108"/>
  <c r="R361" i="108"/>
  <c r="B361" i="108"/>
  <c r="I361" i="108" s="1"/>
  <c r="R360" i="108"/>
  <c r="B360" i="108" s="1"/>
  <c r="I360" i="108"/>
  <c r="R359" i="108"/>
  <c r="B359" i="108" s="1"/>
  <c r="I359" i="108" s="1"/>
  <c r="R358" i="108"/>
  <c r="I358" i="108"/>
  <c r="B358" i="108"/>
  <c r="I357" i="108"/>
  <c r="B357" i="108"/>
  <c r="I356" i="108"/>
  <c r="B356" i="108"/>
  <c r="I355" i="108"/>
  <c r="B355" i="108"/>
  <c r="R354" i="108"/>
  <c r="B354" i="108"/>
  <c r="I354" i="108" s="1"/>
  <c r="B353" i="108"/>
  <c r="I353" i="108" s="1"/>
  <c r="I352" i="108"/>
  <c r="B352" i="108"/>
  <c r="B351" i="108"/>
  <c r="I351" i="108" s="1"/>
  <c r="I340" i="108"/>
  <c r="B340" i="108"/>
  <c r="I339" i="108"/>
  <c r="B339" i="108"/>
  <c r="R338" i="108"/>
  <c r="B338" i="108"/>
  <c r="I338" i="108" s="1"/>
  <c r="R337" i="108"/>
  <c r="B337" i="108" s="1"/>
  <c r="I337" i="108"/>
  <c r="I336" i="108"/>
  <c r="B336" i="108"/>
  <c r="R335" i="108"/>
  <c r="B335" i="108"/>
  <c r="I335" i="108" s="1"/>
  <c r="B334" i="108"/>
  <c r="I334" i="108" s="1"/>
  <c r="B333" i="108"/>
  <c r="I333" i="108" s="1"/>
  <c r="I332" i="108"/>
  <c r="B332" i="108"/>
  <c r="R331" i="108"/>
  <c r="I331" i="108"/>
  <c r="B331" i="108"/>
  <c r="I330" i="108"/>
  <c r="B330" i="108"/>
  <c r="I329" i="108"/>
  <c r="B329" i="108"/>
  <c r="B324" i="108" s="1"/>
  <c r="B318" i="108"/>
  <c r="I318" i="108" s="1"/>
  <c r="B317" i="108"/>
  <c r="I317" i="108" s="1"/>
  <c r="B316" i="108"/>
  <c r="I316" i="108" s="1"/>
  <c r="I315" i="108"/>
  <c r="B315" i="108"/>
  <c r="B314" i="108"/>
  <c r="I314" i="108" s="1"/>
  <c r="B313" i="108"/>
  <c r="I313" i="108" s="1"/>
  <c r="B312" i="108"/>
  <c r="I312" i="108" s="1"/>
  <c r="I311" i="108"/>
  <c r="B311" i="108"/>
  <c r="B310" i="108"/>
  <c r="I310" i="108" s="1"/>
  <c r="P309" i="108"/>
  <c r="B309" i="108" s="1"/>
  <c r="I309" i="108"/>
  <c r="P308" i="108"/>
  <c r="B308" i="108" s="1"/>
  <c r="R297" i="108"/>
  <c r="B297" i="108"/>
  <c r="I297" i="108" s="1"/>
  <c r="R296" i="108"/>
  <c r="I296" i="108"/>
  <c r="B296" i="108"/>
  <c r="I295" i="108"/>
  <c r="B295" i="108"/>
  <c r="B294" i="108"/>
  <c r="I294" i="108" s="1"/>
  <c r="P293" i="108"/>
  <c r="I293" i="108"/>
  <c r="P292" i="108"/>
  <c r="I292" i="108"/>
  <c r="S290" i="108"/>
  <c r="S291" i="108" s="1"/>
  <c r="T294" i="108" s="1"/>
  <c r="B287" i="108"/>
  <c r="R281" i="108"/>
  <c r="B281" i="108" s="1"/>
  <c r="I281" i="108" s="1"/>
  <c r="R280" i="108"/>
  <c r="B280" i="108" s="1"/>
  <c r="I280" i="108" s="1"/>
  <c r="R279" i="108"/>
  <c r="B279" i="108"/>
  <c r="I279" i="108" s="1"/>
  <c r="P278" i="108"/>
  <c r="I278" i="108"/>
  <c r="B278" i="108"/>
  <c r="I277" i="108"/>
  <c r="B277" i="108"/>
  <c r="I276" i="108"/>
  <c r="B276" i="108"/>
  <c r="B271" i="108"/>
  <c r="R265" i="108"/>
  <c r="I265" i="108"/>
  <c r="B265" i="108"/>
  <c r="R264" i="108"/>
  <c r="B264" i="108"/>
  <c r="I264" i="108" s="1"/>
  <c r="R263" i="108"/>
  <c r="B263" i="108" s="1"/>
  <c r="I263" i="108" s="1"/>
  <c r="R262" i="108"/>
  <c r="B262" i="108" s="1"/>
  <c r="I262" i="108" s="1"/>
  <c r="R261" i="108"/>
  <c r="I261" i="108"/>
  <c r="B261" i="108"/>
  <c r="I260" i="108"/>
  <c r="B260" i="108"/>
  <c r="I259" i="108"/>
  <c r="B259" i="108"/>
  <c r="B254" i="108" s="1"/>
  <c r="B234" i="108" s="1"/>
  <c r="S248" i="108"/>
  <c r="I248" i="108"/>
  <c r="B248" i="108"/>
  <c r="S247" i="108"/>
  <c r="B247" i="108" s="1"/>
  <c r="I236" i="108"/>
  <c r="B236" i="108"/>
  <c r="I234" i="108"/>
  <c r="I233" i="108"/>
  <c r="B233" i="108"/>
  <c r="B228" i="108" s="1"/>
  <c r="R222" i="108"/>
  <c r="I222" i="108"/>
  <c r="B222" i="108"/>
  <c r="R221" i="108"/>
  <c r="B221" i="108" s="1"/>
  <c r="I221" i="108" s="1"/>
  <c r="R220" i="108"/>
  <c r="B220" i="108" s="1"/>
  <c r="I220" i="108" s="1"/>
  <c r="R219" i="108"/>
  <c r="B219" i="108"/>
  <c r="I219" i="108" s="1"/>
  <c r="B218" i="108"/>
  <c r="I218" i="108" s="1"/>
  <c r="B216" i="108"/>
  <c r="I216" i="108" s="1"/>
  <c r="R205" i="108"/>
  <c r="B205" i="108" s="1"/>
  <c r="I205" i="108" s="1"/>
  <c r="R204" i="108"/>
  <c r="B204" i="108" s="1"/>
  <c r="I204" i="108" s="1"/>
  <c r="I203" i="108"/>
  <c r="B203" i="108"/>
  <c r="P201" i="108"/>
  <c r="I201" i="108"/>
  <c r="P200" i="108"/>
  <c r="I200" i="108"/>
  <c r="S196" i="108"/>
  <c r="S197" i="108" s="1"/>
  <c r="T200" i="108" s="1"/>
  <c r="B202" i="108" s="1"/>
  <c r="I202" i="108" s="1"/>
  <c r="B195" i="108"/>
  <c r="R189" i="108"/>
  <c r="B189" i="108" s="1"/>
  <c r="I189" i="108" s="1"/>
  <c r="R188" i="108"/>
  <c r="I188" i="108"/>
  <c r="B188" i="108"/>
  <c r="R187" i="108"/>
  <c r="B187" i="108" s="1"/>
  <c r="I187" i="108" s="1"/>
  <c r="P186" i="108"/>
  <c r="B186" i="108" s="1"/>
  <c r="I186" i="108" s="1"/>
  <c r="I185" i="108"/>
  <c r="I184" i="108"/>
  <c r="B179" i="108"/>
  <c r="R173" i="108"/>
  <c r="I173" i="108"/>
  <c r="B173" i="108"/>
  <c r="R172" i="108"/>
  <c r="B172" i="108"/>
  <c r="I172" i="108" s="1"/>
  <c r="R171" i="108"/>
  <c r="B171" i="108" s="1"/>
  <c r="I171" i="108" s="1"/>
  <c r="R170" i="108"/>
  <c r="B170" i="108" s="1"/>
  <c r="I170" i="108" s="1"/>
  <c r="R169" i="108"/>
  <c r="I169" i="108"/>
  <c r="B169" i="108"/>
  <c r="I168" i="108"/>
  <c r="B168" i="108"/>
  <c r="I167" i="108"/>
  <c r="B167" i="108"/>
  <c r="B162" i="108" s="1"/>
  <c r="B156" i="108"/>
  <c r="I156" i="108" s="1"/>
  <c r="R155" i="108"/>
  <c r="I155" i="108"/>
  <c r="B155" i="108"/>
  <c r="I154" i="108"/>
  <c r="B154" i="108"/>
  <c r="I153" i="108"/>
  <c r="B153" i="108"/>
  <c r="I152" i="108"/>
  <c r="B152" i="108"/>
  <c r="B147" i="108"/>
  <c r="R141" i="108"/>
  <c r="I141" i="108"/>
  <c r="B141" i="108"/>
  <c r="R140" i="108"/>
  <c r="B140" i="108"/>
  <c r="I140" i="108" s="1"/>
  <c r="B139" i="108"/>
  <c r="I139" i="108" s="1"/>
  <c r="B138" i="108"/>
  <c r="B133" i="108" s="1"/>
  <c r="R127" i="108"/>
  <c r="B127" i="108"/>
  <c r="I127" i="108" s="1"/>
  <c r="R126" i="108"/>
  <c r="B126" i="108" s="1"/>
  <c r="I126" i="108" s="1"/>
  <c r="R125" i="108"/>
  <c r="B125" i="108" s="1"/>
  <c r="I125" i="108" s="1"/>
  <c r="R124" i="108"/>
  <c r="I124" i="108"/>
  <c r="B124" i="108"/>
  <c r="R112" i="108"/>
  <c r="B112" i="108" s="1"/>
  <c r="I112" i="108" s="1"/>
  <c r="I111" i="108"/>
  <c r="B109" i="108"/>
  <c r="I109" i="108" s="1"/>
  <c r="R97" i="108"/>
  <c r="B97" i="108" s="1"/>
  <c r="I97" i="108" s="1"/>
  <c r="I84" i="108"/>
  <c r="I83" i="108"/>
  <c r="I82" i="108"/>
  <c r="B77" i="108"/>
  <c r="B69" i="108" s="1"/>
  <c r="I69" i="108" s="1"/>
  <c r="R71" i="108"/>
  <c r="I71" i="108"/>
  <c r="B71" i="108"/>
  <c r="R57" i="108"/>
  <c r="B57" i="108" s="1"/>
  <c r="I57" i="108" s="1"/>
  <c r="R56" i="108"/>
  <c r="I56" i="108"/>
  <c r="B56" i="108"/>
  <c r="R55" i="108"/>
  <c r="B55" i="108"/>
  <c r="R44" i="108"/>
  <c r="B44" i="108" s="1"/>
  <c r="I44" i="108" s="1"/>
  <c r="R30" i="108"/>
  <c r="I30" i="108"/>
  <c r="B30" i="108"/>
  <c r="R29" i="108"/>
  <c r="B29" i="108" s="1"/>
  <c r="I29" i="108" s="1"/>
  <c r="R28" i="108"/>
  <c r="B28" i="108" s="1"/>
  <c r="I28" i="108" s="1"/>
  <c r="I27" i="108"/>
  <c r="B27" i="108"/>
  <c r="R15" i="108"/>
  <c r="B15" i="108"/>
  <c r="I15" i="108" s="1"/>
  <c r="B57" i="107"/>
  <c r="J57" i="107" s="1"/>
  <c r="B56" i="107"/>
  <c r="J56" i="107" s="1"/>
  <c r="B55" i="107"/>
  <c r="J55" i="107" s="1"/>
  <c r="S54" i="107"/>
  <c r="B54" i="107" s="1"/>
  <c r="J54" i="107" s="1"/>
  <c r="S53" i="107"/>
  <c r="B53" i="107" s="1"/>
  <c r="J53" i="107" s="1"/>
  <c r="S52" i="107"/>
  <c r="J52" i="107"/>
  <c r="B52" i="107"/>
  <c r="J51" i="107"/>
  <c r="B51" i="107"/>
  <c r="S50" i="107"/>
  <c r="B50" i="107" s="1"/>
  <c r="J50" i="107" s="1"/>
  <c r="B49" i="107"/>
  <c r="J49" i="107" s="1"/>
  <c r="J48" i="107"/>
  <c r="B48" i="107"/>
  <c r="B43" i="107" s="1"/>
  <c r="B12" i="107" s="1"/>
  <c r="B7" i="107" s="1"/>
  <c r="B24" i="104" s="1"/>
  <c r="S37" i="107"/>
  <c r="B37" i="107"/>
  <c r="J37" i="107" s="1"/>
  <c r="S36" i="107"/>
  <c r="J36" i="107"/>
  <c r="B36" i="107"/>
  <c r="S35" i="107"/>
  <c r="B35" i="107"/>
  <c r="J35" i="107" s="1"/>
  <c r="B34" i="107"/>
  <c r="J34" i="107" s="1"/>
  <c r="B33" i="107"/>
  <c r="J33" i="107" s="1"/>
  <c r="S32" i="107"/>
  <c r="B32" i="107" s="1"/>
  <c r="J32" i="107" s="1"/>
  <c r="J31" i="107"/>
  <c r="B31" i="107"/>
  <c r="J30" i="107"/>
  <c r="B19" i="107"/>
  <c r="S18" i="107"/>
  <c r="B18" i="107" s="1"/>
  <c r="J18" i="107" s="1"/>
  <c r="B17" i="107"/>
  <c r="J17" i="107" s="1"/>
  <c r="S16" i="107"/>
  <c r="B16" i="107" s="1"/>
  <c r="J16" i="107"/>
  <c r="J15" i="107"/>
  <c r="B15" i="107"/>
  <c r="J14" i="107"/>
  <c r="B14" i="107"/>
  <c r="B9" i="107"/>
  <c r="I47" i="106"/>
  <c r="I46" i="106"/>
  <c r="I45" i="106"/>
  <c r="B45" i="106"/>
  <c r="B40" i="106"/>
  <c r="R34" i="106"/>
  <c r="B34" i="106" s="1"/>
  <c r="I34" i="106" s="1"/>
  <c r="R33" i="106"/>
  <c r="B33" i="106" s="1"/>
  <c r="I33" i="106" s="1"/>
  <c r="R32" i="106"/>
  <c r="I32" i="106"/>
  <c r="B32" i="106"/>
  <c r="R31" i="106"/>
  <c r="B31" i="106"/>
  <c r="I31" i="106" s="1"/>
  <c r="I30" i="106"/>
  <c r="B30" i="106"/>
  <c r="I29" i="106"/>
  <c r="P28" i="106"/>
  <c r="I28" i="106"/>
  <c r="B23" i="106"/>
  <c r="Q17" i="106"/>
  <c r="I17" i="106"/>
  <c r="B17" i="106"/>
  <c r="Q16" i="106"/>
  <c r="B16" i="106"/>
  <c r="I16" i="106" s="1"/>
  <c r="Q15" i="106"/>
  <c r="B15" i="106" s="1"/>
  <c r="I15" i="106" s="1"/>
  <c r="I13" i="106"/>
  <c r="B13" i="106"/>
  <c r="P13" i="106" s="1"/>
  <c r="T12" i="106"/>
  <c r="U15" i="106" s="1"/>
  <c r="B14" i="106" s="1"/>
  <c r="I14" i="106" s="1"/>
  <c r="T11" i="106"/>
  <c r="I104" i="105"/>
  <c r="I103" i="105"/>
  <c r="I102" i="105"/>
  <c r="B101" i="105"/>
  <c r="I101" i="105" s="1"/>
  <c r="I89" i="105"/>
  <c r="I88" i="105"/>
  <c r="I87" i="105"/>
  <c r="I86" i="105"/>
  <c r="B81" i="105"/>
  <c r="I75" i="105"/>
  <c r="I74" i="105"/>
  <c r="I73" i="105"/>
  <c r="B68" i="105"/>
  <c r="I62" i="105"/>
  <c r="I61" i="105"/>
  <c r="B61" i="105"/>
  <c r="R60" i="105"/>
  <c r="B60" i="105" s="1"/>
  <c r="I60" i="105" s="1"/>
  <c r="I59" i="105"/>
  <c r="B59" i="105"/>
  <c r="B54" i="105" s="1"/>
  <c r="R48" i="105"/>
  <c r="B48" i="105"/>
  <c r="I48" i="105" s="1"/>
  <c r="B47" i="105"/>
  <c r="I47" i="105" s="1"/>
  <c r="R46" i="105"/>
  <c r="B46" i="105" s="1"/>
  <c r="I46" i="105" s="1"/>
  <c r="R45" i="105"/>
  <c r="B45" i="105" s="1"/>
  <c r="I45" i="105" s="1"/>
  <c r="B44" i="105"/>
  <c r="I44" i="105" s="1"/>
  <c r="I43" i="105"/>
  <c r="B43" i="105"/>
  <c r="I42" i="105"/>
  <c r="B37" i="105"/>
  <c r="T36" i="105"/>
  <c r="O36" i="105"/>
  <c r="AB17" i="104" s="1"/>
  <c r="Z17" i="104" s="1"/>
  <c r="B17" i="104" s="1"/>
  <c r="R31" i="105"/>
  <c r="I31" i="105"/>
  <c r="B31" i="105"/>
  <c r="I30" i="105"/>
  <c r="B30" i="105"/>
  <c r="R29" i="105"/>
  <c r="B29" i="105" s="1"/>
  <c r="I29" i="105" s="1"/>
  <c r="I28" i="105"/>
  <c r="B23" i="105"/>
  <c r="Q17" i="105"/>
  <c r="B17" i="105" s="1"/>
  <c r="I17" i="105" s="1"/>
  <c r="Q16" i="105"/>
  <c r="B16" i="105"/>
  <c r="I16" i="105" s="1"/>
  <c r="B15" i="105"/>
  <c r="I15" i="105" s="1"/>
  <c r="I14" i="105"/>
  <c r="I12" i="105"/>
  <c r="B7" i="105"/>
  <c r="B28" i="104"/>
  <c r="Z27" i="104"/>
  <c r="B27" i="104" s="1"/>
  <c r="Z26" i="104"/>
  <c r="B26" i="104" s="1"/>
  <c r="Z25" i="104"/>
  <c r="B25" i="104" s="1"/>
  <c r="Z24" i="104"/>
  <c r="Z23" i="104"/>
  <c r="B23" i="104" s="1"/>
  <c r="Z22" i="104"/>
  <c r="B22" i="104" s="1"/>
  <c r="Z21" i="104"/>
  <c r="B21" i="104" s="1"/>
  <c r="Z20" i="104"/>
  <c r="B20" i="104" s="1"/>
  <c r="Z19" i="104"/>
  <c r="B19" i="104" s="1"/>
  <c r="Z18" i="104"/>
  <c r="B18" i="104" s="1"/>
  <c r="Z16" i="104"/>
  <c r="B16" i="104"/>
  <c r="B12" i="108" s="1"/>
  <c r="B7" i="108" s="1"/>
  <c r="Z15" i="104"/>
  <c r="B15" i="104"/>
  <c r="Z14" i="104"/>
  <c r="B14" i="104"/>
  <c r="Z13" i="104"/>
  <c r="B13" i="104"/>
  <c r="N1" i="104"/>
  <c r="I362" i="103"/>
  <c r="B362" i="103"/>
  <c r="R361" i="103"/>
  <c r="B361" i="103"/>
  <c r="I361" i="103" s="1"/>
  <c r="R360" i="103"/>
  <c r="I360" i="103"/>
  <c r="B360" i="103"/>
  <c r="R359" i="103"/>
  <c r="B359" i="103"/>
  <c r="I359" i="103" s="1"/>
  <c r="R358" i="103"/>
  <c r="B358" i="103" s="1"/>
  <c r="I358" i="103"/>
  <c r="I357" i="103"/>
  <c r="B357" i="103"/>
  <c r="I356" i="103"/>
  <c r="B356" i="103"/>
  <c r="I355" i="103"/>
  <c r="B355" i="103"/>
  <c r="R354" i="103"/>
  <c r="B354" i="103" s="1"/>
  <c r="I354" i="103" s="1"/>
  <c r="I353" i="103"/>
  <c r="B353" i="103"/>
  <c r="B352" i="103"/>
  <c r="I352" i="103" s="1"/>
  <c r="B351" i="103"/>
  <c r="I340" i="103"/>
  <c r="B340" i="103"/>
  <c r="I339" i="103"/>
  <c r="B339" i="103"/>
  <c r="R338" i="103"/>
  <c r="B338" i="103" s="1"/>
  <c r="I338" i="103" s="1"/>
  <c r="R337" i="103"/>
  <c r="I337" i="103"/>
  <c r="B337" i="103"/>
  <c r="I336" i="103"/>
  <c r="B336" i="103"/>
  <c r="R335" i="103"/>
  <c r="B335" i="103"/>
  <c r="I335" i="103" s="1"/>
  <c r="B334" i="103"/>
  <c r="I334" i="103" s="1"/>
  <c r="I333" i="103"/>
  <c r="B333" i="103"/>
  <c r="B332" i="103"/>
  <c r="I332" i="103" s="1"/>
  <c r="R331" i="103"/>
  <c r="B331" i="103" s="1"/>
  <c r="I331" i="103" s="1"/>
  <c r="I330" i="103"/>
  <c r="B330" i="103"/>
  <c r="I329" i="103"/>
  <c r="B329" i="103"/>
  <c r="B324" i="103"/>
  <c r="B318" i="103"/>
  <c r="I318" i="103" s="1"/>
  <c r="B317" i="103"/>
  <c r="I317" i="103" s="1"/>
  <c r="I316" i="103"/>
  <c r="B316" i="103"/>
  <c r="B315" i="103"/>
  <c r="I315" i="103" s="1"/>
  <c r="B314" i="103"/>
  <c r="I314" i="103" s="1"/>
  <c r="B313" i="103"/>
  <c r="I313" i="103" s="1"/>
  <c r="I312" i="103"/>
  <c r="B312" i="103"/>
  <c r="B311" i="103"/>
  <c r="I311" i="103" s="1"/>
  <c r="B310" i="103"/>
  <c r="I310" i="103" s="1"/>
  <c r="B309" i="103"/>
  <c r="I309" i="103" s="1"/>
  <c r="I308" i="103"/>
  <c r="B308" i="103"/>
  <c r="B303" i="103" s="1"/>
  <c r="R297" i="103"/>
  <c r="B297" i="103" s="1"/>
  <c r="I297" i="103" s="1"/>
  <c r="R296" i="103"/>
  <c r="I296" i="103"/>
  <c r="B296" i="103"/>
  <c r="I295" i="103"/>
  <c r="B295" i="103"/>
  <c r="T294" i="103"/>
  <c r="B294" i="103" s="1"/>
  <c r="I294" i="103" s="1"/>
  <c r="P293" i="103"/>
  <c r="I293" i="103"/>
  <c r="P292" i="103"/>
  <c r="I292" i="103"/>
  <c r="S290" i="103"/>
  <c r="S291" i="103" s="1"/>
  <c r="B287" i="103"/>
  <c r="R281" i="103"/>
  <c r="B281" i="103" s="1"/>
  <c r="I281" i="103" s="1"/>
  <c r="R280" i="103"/>
  <c r="B280" i="103" s="1"/>
  <c r="I280" i="103" s="1"/>
  <c r="R279" i="103"/>
  <c r="B279" i="103" s="1"/>
  <c r="I279" i="103" s="1"/>
  <c r="P278" i="103"/>
  <c r="I278" i="103"/>
  <c r="B278" i="103"/>
  <c r="I277" i="103"/>
  <c r="B277" i="103"/>
  <c r="I276" i="103"/>
  <c r="B276" i="103"/>
  <c r="B271" i="103"/>
  <c r="R265" i="103"/>
  <c r="I265" i="103"/>
  <c r="B265" i="103"/>
  <c r="R264" i="103"/>
  <c r="B264" i="103"/>
  <c r="I264" i="103" s="1"/>
  <c r="R263" i="103"/>
  <c r="I263" i="103"/>
  <c r="B263" i="103"/>
  <c r="R262" i="103"/>
  <c r="B262" i="103" s="1"/>
  <c r="I262" i="103" s="1"/>
  <c r="R261" i="103"/>
  <c r="I261" i="103"/>
  <c r="B261" i="103"/>
  <c r="I260" i="103"/>
  <c r="B260" i="103"/>
  <c r="I259" i="103"/>
  <c r="B259" i="103"/>
  <c r="B254" i="103" s="1"/>
  <c r="B234" i="103" s="1"/>
  <c r="B233" i="103" s="1"/>
  <c r="B228" i="103" s="1"/>
  <c r="S248" i="103"/>
  <c r="B248" i="103" s="1"/>
  <c r="I248" i="103"/>
  <c r="S247" i="103"/>
  <c r="B247" i="103"/>
  <c r="B236" i="103"/>
  <c r="I236" i="103" s="1"/>
  <c r="I234" i="103"/>
  <c r="I233" i="103"/>
  <c r="R222" i="103"/>
  <c r="B222" i="103" s="1"/>
  <c r="I222" i="103"/>
  <c r="R221" i="103"/>
  <c r="B221" i="103"/>
  <c r="I221" i="103" s="1"/>
  <c r="R220" i="103"/>
  <c r="B220" i="103" s="1"/>
  <c r="I220" i="103" s="1"/>
  <c r="R219" i="103"/>
  <c r="B219" i="103"/>
  <c r="I219" i="103" s="1"/>
  <c r="B218" i="103"/>
  <c r="I218" i="103" s="1"/>
  <c r="I217" i="103"/>
  <c r="B217" i="103"/>
  <c r="B216" i="103"/>
  <c r="R205" i="103"/>
  <c r="B205" i="103" s="1"/>
  <c r="I205" i="103" s="1"/>
  <c r="R204" i="103"/>
  <c r="B204" i="103" s="1"/>
  <c r="I204" i="103" s="1"/>
  <c r="I203" i="103"/>
  <c r="B203" i="103"/>
  <c r="I201" i="103"/>
  <c r="I200" i="103"/>
  <c r="R196" i="103"/>
  <c r="R197" i="103" s="1"/>
  <c r="S200" i="103" s="1"/>
  <c r="B202" i="103" s="1"/>
  <c r="I202" i="103" s="1"/>
  <c r="B195" i="103"/>
  <c r="R189" i="103"/>
  <c r="B189" i="103"/>
  <c r="I189" i="103" s="1"/>
  <c r="R188" i="103"/>
  <c r="B188" i="103" s="1"/>
  <c r="I188" i="103" s="1"/>
  <c r="R187" i="103"/>
  <c r="B187" i="103"/>
  <c r="I187" i="103" s="1"/>
  <c r="P186" i="103"/>
  <c r="I186" i="103"/>
  <c r="B186" i="103"/>
  <c r="I185" i="103"/>
  <c r="B185" i="103"/>
  <c r="I184" i="103"/>
  <c r="B184" i="103"/>
  <c r="B179" i="103"/>
  <c r="R173" i="103"/>
  <c r="I173" i="103"/>
  <c r="B173" i="103"/>
  <c r="R172" i="103"/>
  <c r="B172" i="103"/>
  <c r="I172" i="103" s="1"/>
  <c r="R171" i="103"/>
  <c r="I171" i="103"/>
  <c r="B171" i="103"/>
  <c r="R170" i="103"/>
  <c r="B170" i="103" s="1"/>
  <c r="I170" i="103" s="1"/>
  <c r="R169" i="103"/>
  <c r="I169" i="103"/>
  <c r="B169" i="103"/>
  <c r="I168" i="103"/>
  <c r="B168" i="103"/>
  <c r="I167" i="103"/>
  <c r="B167" i="103"/>
  <c r="B162" i="103" s="1"/>
  <c r="B156" i="103"/>
  <c r="I156" i="103" s="1"/>
  <c r="R155" i="103"/>
  <c r="I155" i="103"/>
  <c r="B155" i="103"/>
  <c r="I154" i="103"/>
  <c r="B154" i="103"/>
  <c r="I153" i="103"/>
  <c r="B153" i="103"/>
  <c r="I152" i="103"/>
  <c r="B152" i="103"/>
  <c r="B147" i="103"/>
  <c r="R141" i="103"/>
  <c r="I141" i="103"/>
  <c r="B141" i="103"/>
  <c r="R140" i="103"/>
  <c r="B140" i="103"/>
  <c r="I140" i="103" s="1"/>
  <c r="P139" i="103"/>
  <c r="I139" i="103"/>
  <c r="B139" i="103"/>
  <c r="P138" i="103"/>
  <c r="B138" i="103" s="1"/>
  <c r="R127" i="103"/>
  <c r="B127" i="103" s="1"/>
  <c r="I127" i="103" s="1"/>
  <c r="R126" i="103"/>
  <c r="I126" i="103"/>
  <c r="B126" i="103"/>
  <c r="R125" i="103"/>
  <c r="B125" i="103"/>
  <c r="I125" i="103" s="1"/>
  <c r="R124" i="103"/>
  <c r="I124" i="103"/>
  <c r="B124" i="103"/>
  <c r="I123" i="103"/>
  <c r="R112" i="103"/>
  <c r="B112" i="103" s="1"/>
  <c r="I112" i="103" s="1"/>
  <c r="I111" i="103"/>
  <c r="I110" i="103"/>
  <c r="Q109" i="103"/>
  <c r="R110" i="103" s="1"/>
  <c r="B110" i="103" s="1"/>
  <c r="I108" i="103"/>
  <c r="R97" i="103"/>
  <c r="B97" i="103"/>
  <c r="I97" i="103" s="1"/>
  <c r="I96" i="103"/>
  <c r="I95" i="103"/>
  <c r="I84" i="103"/>
  <c r="I83" i="103"/>
  <c r="I82" i="103"/>
  <c r="B77" i="103"/>
  <c r="B69" i="103" s="1"/>
  <c r="I69" i="103" s="1"/>
  <c r="R71" i="103"/>
  <c r="B71" i="103" s="1"/>
  <c r="I71" i="103"/>
  <c r="I70" i="103"/>
  <c r="I68" i="103"/>
  <c r="R57" i="103"/>
  <c r="B57" i="103"/>
  <c r="I57" i="103" s="1"/>
  <c r="R56" i="103"/>
  <c r="I56" i="103"/>
  <c r="B56" i="103"/>
  <c r="R55" i="103"/>
  <c r="I55" i="103"/>
  <c r="B50" i="103"/>
  <c r="R44" i="103"/>
  <c r="B44" i="103" s="1"/>
  <c r="I44" i="103"/>
  <c r="I43" i="103"/>
  <c r="I42" i="103"/>
  <c r="B42" i="103"/>
  <c r="I41" i="103"/>
  <c r="R30" i="103"/>
  <c r="B30" i="103"/>
  <c r="I30" i="103" s="1"/>
  <c r="R29" i="103"/>
  <c r="I29" i="103"/>
  <c r="B29" i="103"/>
  <c r="R28" i="103"/>
  <c r="B28" i="103"/>
  <c r="I28" i="103" s="1"/>
  <c r="B27" i="103"/>
  <c r="I27" i="103" s="1"/>
  <c r="I26" i="103"/>
  <c r="R15" i="103"/>
  <c r="B15" i="103" s="1"/>
  <c r="I15" i="103" s="1"/>
  <c r="I14" i="103"/>
  <c r="I13" i="103"/>
  <c r="B57" i="102"/>
  <c r="J57" i="102" s="1"/>
  <c r="J56" i="102"/>
  <c r="B56" i="102"/>
  <c r="B55" i="102"/>
  <c r="J55" i="102" s="1"/>
  <c r="S54" i="102"/>
  <c r="B54" i="102" s="1"/>
  <c r="J54" i="102"/>
  <c r="S53" i="102"/>
  <c r="B53" i="102" s="1"/>
  <c r="J53" i="102" s="1"/>
  <c r="S52" i="102"/>
  <c r="J52" i="102"/>
  <c r="B52" i="102"/>
  <c r="J51" i="102"/>
  <c r="B51" i="102"/>
  <c r="S50" i="102"/>
  <c r="B50" i="102" s="1"/>
  <c r="J50" i="102" s="1"/>
  <c r="B49" i="102"/>
  <c r="J49" i="102" s="1"/>
  <c r="B48" i="102"/>
  <c r="S37" i="102"/>
  <c r="B37" i="102" s="1"/>
  <c r="J37" i="102" s="1"/>
  <c r="S36" i="102"/>
  <c r="J36" i="102"/>
  <c r="B36" i="102"/>
  <c r="S35" i="102"/>
  <c r="B34" i="102" s="1"/>
  <c r="J34" i="102" s="1"/>
  <c r="B35" i="102"/>
  <c r="J35" i="102" s="1"/>
  <c r="B33" i="102"/>
  <c r="J33" i="102" s="1"/>
  <c r="S32" i="102"/>
  <c r="B32" i="102" s="1"/>
  <c r="J32" i="102" s="1"/>
  <c r="J31" i="102"/>
  <c r="B31" i="102"/>
  <c r="J29" i="102"/>
  <c r="B19" i="102"/>
  <c r="S18" i="102"/>
  <c r="B18" i="102"/>
  <c r="J18" i="102" s="1"/>
  <c r="J17" i="102"/>
  <c r="B17" i="102"/>
  <c r="S16" i="102"/>
  <c r="J16" i="102"/>
  <c r="B16" i="102"/>
  <c r="J15" i="102"/>
  <c r="B15" i="102"/>
  <c r="J14" i="102"/>
  <c r="B14" i="102"/>
  <c r="J13" i="102"/>
  <c r="B9" i="102"/>
  <c r="I47" i="101"/>
  <c r="I46" i="101"/>
  <c r="I45" i="101"/>
  <c r="B45" i="101"/>
  <c r="B40" i="101" s="1"/>
  <c r="R34" i="101"/>
  <c r="B34" i="101" s="1"/>
  <c r="I34" i="101" s="1"/>
  <c r="R33" i="101"/>
  <c r="I33" i="101"/>
  <c r="B33" i="101"/>
  <c r="R32" i="101"/>
  <c r="B32" i="101"/>
  <c r="I32" i="101" s="1"/>
  <c r="R31" i="101"/>
  <c r="B31" i="101" s="1"/>
  <c r="I31" i="101" s="1"/>
  <c r="I30" i="101"/>
  <c r="B30" i="101"/>
  <c r="I29" i="101"/>
  <c r="P28" i="101"/>
  <c r="I28" i="101"/>
  <c r="B23" i="101"/>
  <c r="Q17" i="101"/>
  <c r="B17" i="101" s="1"/>
  <c r="I17" i="101" s="1"/>
  <c r="Q16" i="101"/>
  <c r="B16" i="101" s="1"/>
  <c r="I16" i="101" s="1"/>
  <c r="Q15" i="101"/>
  <c r="B15" i="101"/>
  <c r="I15" i="101" s="1"/>
  <c r="T13" i="101"/>
  <c r="B14" i="101" s="1"/>
  <c r="I14" i="101" s="1"/>
  <c r="B13" i="101"/>
  <c r="I12" i="101"/>
  <c r="S10" i="101"/>
  <c r="S9" i="101"/>
  <c r="B7" i="101"/>
  <c r="I104" i="100"/>
  <c r="I103" i="100"/>
  <c r="I102" i="100"/>
  <c r="I101" i="100"/>
  <c r="B101" i="100"/>
  <c r="B100" i="100" s="1"/>
  <c r="I89" i="100"/>
  <c r="I88" i="100"/>
  <c r="I87" i="100"/>
  <c r="I86" i="100"/>
  <c r="B81" i="100"/>
  <c r="I75" i="100"/>
  <c r="I74" i="100"/>
  <c r="I73" i="100"/>
  <c r="B68" i="100"/>
  <c r="B217" i="108" s="1"/>
  <c r="I217" i="108" s="1"/>
  <c r="R62" i="100"/>
  <c r="B62" i="100"/>
  <c r="I62" i="100" s="1"/>
  <c r="B61" i="100"/>
  <c r="I61" i="100" s="1"/>
  <c r="R60" i="100"/>
  <c r="I60" i="100"/>
  <c r="B60" i="100"/>
  <c r="B59" i="100"/>
  <c r="I59" i="100" s="1"/>
  <c r="B54" i="100"/>
  <c r="R48" i="100"/>
  <c r="B48" i="100" s="1"/>
  <c r="I48" i="100" s="1"/>
  <c r="B47" i="100"/>
  <c r="I47" i="100" s="1"/>
  <c r="R46" i="100"/>
  <c r="B46" i="100"/>
  <c r="I46" i="100" s="1"/>
  <c r="R45" i="100"/>
  <c r="B45" i="100" s="1"/>
  <c r="I45" i="100"/>
  <c r="I44" i="100"/>
  <c r="B44" i="100"/>
  <c r="R43" i="100"/>
  <c r="B42" i="100"/>
  <c r="T36" i="100"/>
  <c r="R31" i="100"/>
  <c r="B31" i="100" s="1"/>
  <c r="I31" i="100" s="1"/>
  <c r="I30" i="100"/>
  <c r="B30" i="100"/>
  <c r="R29" i="100"/>
  <c r="B29" i="100" s="1"/>
  <c r="I29" i="100" s="1"/>
  <c r="I28" i="100"/>
  <c r="B23" i="100"/>
  <c r="Q17" i="100"/>
  <c r="I17" i="100"/>
  <c r="B17" i="100"/>
  <c r="Q16" i="100"/>
  <c r="B16" i="100" s="1"/>
  <c r="I16" i="100" s="1"/>
  <c r="I15" i="100"/>
  <c r="B15" i="100"/>
  <c r="I14" i="100"/>
  <c r="Q13" i="100"/>
  <c r="B13" i="100" s="1"/>
  <c r="O13" i="100"/>
  <c r="I13" i="100"/>
  <c r="I12" i="100"/>
  <c r="B7" i="100"/>
  <c r="B28" i="99"/>
  <c r="Z27" i="99"/>
  <c r="B27" i="99" s="1"/>
  <c r="Z26" i="99"/>
  <c r="B26" i="99" s="1"/>
  <c r="Z25" i="99"/>
  <c r="B25" i="99" s="1"/>
  <c r="Z24" i="99"/>
  <c r="Z23" i="99"/>
  <c r="B23" i="99" s="1"/>
  <c r="Z22" i="99"/>
  <c r="B22" i="99" s="1"/>
  <c r="Z21" i="99"/>
  <c r="B21" i="99"/>
  <c r="Z20" i="99"/>
  <c r="B20" i="99" s="1"/>
  <c r="Z19" i="99"/>
  <c r="B19" i="99" s="1"/>
  <c r="Z18" i="99"/>
  <c r="B18" i="99" s="1"/>
  <c r="AB17" i="99"/>
  <c r="Z17" i="99"/>
  <c r="B17" i="99" s="1"/>
  <c r="Z16" i="99"/>
  <c r="B16" i="99"/>
  <c r="B12" i="103" s="1"/>
  <c r="B7" i="103" s="1"/>
  <c r="Z15" i="99"/>
  <c r="B15" i="99"/>
  <c r="Z14" i="99"/>
  <c r="B14" i="99"/>
  <c r="Z13" i="99"/>
  <c r="B13" i="99" s="1"/>
  <c r="N1" i="99"/>
  <c r="I362" i="98"/>
  <c r="B362" i="98"/>
  <c r="R361" i="98"/>
  <c r="B361" i="98" s="1"/>
  <c r="I361" i="98" s="1"/>
  <c r="R360" i="98"/>
  <c r="B360" i="98" s="1"/>
  <c r="I360" i="98" s="1"/>
  <c r="R359" i="98"/>
  <c r="B359" i="98"/>
  <c r="I359" i="98" s="1"/>
  <c r="R358" i="98"/>
  <c r="B358" i="98"/>
  <c r="I358" i="98" s="1"/>
  <c r="B357" i="98"/>
  <c r="I357" i="98" s="1"/>
  <c r="I356" i="98"/>
  <c r="B356" i="98"/>
  <c r="I355" i="98"/>
  <c r="B355" i="98"/>
  <c r="R354" i="98"/>
  <c r="B354" i="98" s="1"/>
  <c r="I354" i="98" s="1"/>
  <c r="B353" i="98"/>
  <c r="I353" i="98" s="1"/>
  <c r="B352" i="98"/>
  <c r="I352" i="98" s="1"/>
  <c r="B351" i="98"/>
  <c r="I351" i="98" s="1"/>
  <c r="B346" i="98"/>
  <c r="B340" i="98"/>
  <c r="I340" i="98" s="1"/>
  <c r="I339" i="98"/>
  <c r="B339" i="98"/>
  <c r="R338" i="98"/>
  <c r="B338" i="98"/>
  <c r="I338" i="98" s="1"/>
  <c r="R337" i="98"/>
  <c r="B337" i="98" s="1"/>
  <c r="I337" i="98" s="1"/>
  <c r="I336" i="98"/>
  <c r="B336" i="98"/>
  <c r="R335" i="98"/>
  <c r="B335" i="98" s="1"/>
  <c r="I335" i="98" s="1"/>
  <c r="I334" i="98"/>
  <c r="B334" i="98"/>
  <c r="I333" i="98"/>
  <c r="B333" i="98"/>
  <c r="B332" i="98"/>
  <c r="I332" i="98" s="1"/>
  <c r="R331" i="98"/>
  <c r="I331" i="98"/>
  <c r="B331" i="98"/>
  <c r="B330" i="98"/>
  <c r="I330" i="98" s="1"/>
  <c r="I329" i="98"/>
  <c r="B329" i="98"/>
  <c r="B324" i="98"/>
  <c r="B318" i="98"/>
  <c r="I318" i="98" s="1"/>
  <c r="I317" i="98"/>
  <c r="B317" i="98"/>
  <c r="B316" i="98"/>
  <c r="I316" i="98" s="1"/>
  <c r="B315" i="98"/>
  <c r="I315" i="98" s="1"/>
  <c r="B314" i="98"/>
  <c r="I314" i="98" s="1"/>
  <c r="I313" i="98"/>
  <c r="B313" i="98"/>
  <c r="I312" i="98"/>
  <c r="B312" i="98"/>
  <c r="B311" i="98"/>
  <c r="I311" i="98" s="1"/>
  <c r="B310" i="98"/>
  <c r="I310" i="98" s="1"/>
  <c r="I309" i="98"/>
  <c r="B309" i="98"/>
  <c r="B308" i="98"/>
  <c r="I308" i="98" s="1"/>
  <c r="R297" i="98"/>
  <c r="I297" i="98"/>
  <c r="B297" i="98"/>
  <c r="R296" i="98"/>
  <c r="B296" i="98" s="1"/>
  <c r="I296" i="98" s="1"/>
  <c r="I295" i="98"/>
  <c r="B295" i="98"/>
  <c r="P293" i="98"/>
  <c r="I293" i="98"/>
  <c r="P292" i="98"/>
  <c r="I292" i="98"/>
  <c r="S290" i="98"/>
  <c r="S291" i="98" s="1"/>
  <c r="T294" i="98" s="1"/>
  <c r="B294" i="98" s="1"/>
  <c r="I294" i="98" s="1"/>
  <c r="B287" i="98"/>
  <c r="R281" i="98"/>
  <c r="B281" i="98" s="1"/>
  <c r="I281" i="98" s="1"/>
  <c r="R280" i="98"/>
  <c r="B280" i="98" s="1"/>
  <c r="I280" i="98" s="1"/>
  <c r="R279" i="98"/>
  <c r="I279" i="98"/>
  <c r="B279" i="98"/>
  <c r="P278" i="98"/>
  <c r="B278" i="98"/>
  <c r="I278" i="98" s="1"/>
  <c r="I277" i="98"/>
  <c r="B277" i="98"/>
  <c r="B276" i="98"/>
  <c r="I276" i="98" s="1"/>
  <c r="R265" i="98"/>
  <c r="B265" i="98"/>
  <c r="I265" i="98" s="1"/>
  <c r="R264" i="98"/>
  <c r="B264" i="98" s="1"/>
  <c r="I264" i="98" s="1"/>
  <c r="R263" i="98"/>
  <c r="B263" i="98" s="1"/>
  <c r="I263" i="98"/>
  <c r="R262" i="98"/>
  <c r="B262" i="98"/>
  <c r="I262" i="98" s="1"/>
  <c r="R261" i="98"/>
  <c r="B261" i="98"/>
  <c r="I261" i="98" s="1"/>
  <c r="I260" i="98"/>
  <c r="B260" i="98"/>
  <c r="B259" i="98" s="1"/>
  <c r="S248" i="98"/>
  <c r="B248" i="98"/>
  <c r="I248" i="98" s="1"/>
  <c r="S247" i="98"/>
  <c r="B247" i="98" s="1"/>
  <c r="I236" i="98"/>
  <c r="B236" i="98"/>
  <c r="B233" i="98"/>
  <c r="I233" i="98" s="1"/>
  <c r="B228" i="98"/>
  <c r="R222" i="98"/>
  <c r="B222" i="98"/>
  <c r="I222" i="98" s="1"/>
  <c r="R221" i="98"/>
  <c r="B221" i="98" s="1"/>
  <c r="I221" i="98" s="1"/>
  <c r="R220" i="98"/>
  <c r="I220" i="98"/>
  <c r="B220" i="98"/>
  <c r="R219" i="98"/>
  <c r="B219" i="98"/>
  <c r="I219" i="98" s="1"/>
  <c r="I218" i="98"/>
  <c r="B218" i="98"/>
  <c r="B216" i="98"/>
  <c r="I216" i="98" s="1"/>
  <c r="B211" i="98"/>
  <c r="R205" i="98"/>
  <c r="B205" i="98" s="1"/>
  <c r="I205" i="98" s="1"/>
  <c r="R204" i="98"/>
  <c r="I204" i="98"/>
  <c r="B204" i="98"/>
  <c r="B203" i="98"/>
  <c r="I203" i="98" s="1"/>
  <c r="T202" i="98"/>
  <c r="B202" i="98" s="1"/>
  <c r="I202" i="98" s="1"/>
  <c r="P201" i="98"/>
  <c r="I201" i="98"/>
  <c r="P200" i="98"/>
  <c r="I200" i="98"/>
  <c r="S198" i="98"/>
  <c r="B195" i="98"/>
  <c r="R189" i="98"/>
  <c r="B189" i="98" s="1"/>
  <c r="I189" i="98" s="1"/>
  <c r="R188" i="98"/>
  <c r="B188" i="98" s="1"/>
  <c r="I188" i="98" s="1"/>
  <c r="R187" i="98"/>
  <c r="B187" i="98" s="1"/>
  <c r="I187" i="98"/>
  <c r="P186" i="98"/>
  <c r="B186" i="98"/>
  <c r="I186" i="98" s="1"/>
  <c r="I185" i="98"/>
  <c r="I184" i="98"/>
  <c r="B179" i="98"/>
  <c r="R173" i="98"/>
  <c r="B173" i="98" s="1"/>
  <c r="I173" i="98" s="1"/>
  <c r="R172" i="98"/>
  <c r="B172" i="98" s="1"/>
  <c r="I172" i="98" s="1"/>
  <c r="R171" i="98"/>
  <c r="B171" i="98"/>
  <c r="I171" i="98" s="1"/>
  <c r="R170" i="98"/>
  <c r="B170" i="98" s="1"/>
  <c r="I170" i="98" s="1"/>
  <c r="R169" i="98"/>
  <c r="B169" i="98" s="1"/>
  <c r="I169" i="98" s="1"/>
  <c r="B168" i="98"/>
  <c r="I168" i="98" s="1"/>
  <c r="B167" i="98"/>
  <c r="B162" i="98" s="1"/>
  <c r="I156" i="98"/>
  <c r="B156" i="98"/>
  <c r="R155" i="98"/>
  <c r="I155" i="98"/>
  <c r="B155" i="98"/>
  <c r="B154" i="98"/>
  <c r="I154" i="98" s="1"/>
  <c r="B153" i="98"/>
  <c r="I153" i="98" s="1"/>
  <c r="B152" i="98"/>
  <c r="I152" i="98" s="1"/>
  <c r="B147" i="98"/>
  <c r="R141" i="98"/>
  <c r="B141" i="98" s="1"/>
  <c r="I141" i="98" s="1"/>
  <c r="R140" i="98"/>
  <c r="B140" i="98" s="1"/>
  <c r="I140" i="98" s="1"/>
  <c r="B139" i="98"/>
  <c r="I139" i="98" s="1"/>
  <c r="I138" i="98"/>
  <c r="B138" i="98"/>
  <c r="B133" i="98" s="1"/>
  <c r="B109" i="98" s="1"/>
  <c r="R127" i="98"/>
  <c r="B127" i="98" s="1"/>
  <c r="I127" i="98" s="1"/>
  <c r="R126" i="98"/>
  <c r="I126" i="98"/>
  <c r="B126" i="98"/>
  <c r="R125" i="98"/>
  <c r="B125" i="98"/>
  <c r="I125" i="98" s="1"/>
  <c r="R124" i="98"/>
  <c r="B124" i="98" s="1"/>
  <c r="I124" i="98" s="1"/>
  <c r="I123" i="98"/>
  <c r="R112" i="98"/>
  <c r="B112" i="98" s="1"/>
  <c r="I112" i="98" s="1"/>
  <c r="I111" i="98"/>
  <c r="S110" i="98"/>
  <c r="Q110" i="98"/>
  <c r="B110" i="98"/>
  <c r="I110" i="98" s="1"/>
  <c r="I109" i="98"/>
  <c r="I108" i="98"/>
  <c r="R97" i="98"/>
  <c r="I97" i="98"/>
  <c r="B97" i="98"/>
  <c r="I96" i="98"/>
  <c r="I95" i="98"/>
  <c r="I84" i="98"/>
  <c r="I83" i="98"/>
  <c r="I82" i="98"/>
  <c r="B77" i="98"/>
  <c r="R71" i="98"/>
  <c r="B71" i="98"/>
  <c r="I71" i="98" s="1"/>
  <c r="I70" i="98"/>
  <c r="I69" i="98"/>
  <c r="B69" i="98"/>
  <c r="I68" i="98"/>
  <c r="R57" i="98"/>
  <c r="B57" i="98" s="1"/>
  <c r="I57" i="98" s="1"/>
  <c r="R56" i="98"/>
  <c r="I56" i="98"/>
  <c r="B56" i="98"/>
  <c r="R55" i="98"/>
  <c r="B55" i="98"/>
  <c r="I55" i="98" s="1"/>
  <c r="B50" i="98"/>
  <c r="R44" i="98"/>
  <c r="B44" i="98"/>
  <c r="I44" i="98" s="1"/>
  <c r="I43" i="98"/>
  <c r="I42" i="98"/>
  <c r="B42" i="98"/>
  <c r="I41" i="98"/>
  <c r="R30" i="98"/>
  <c r="B30" i="98" s="1"/>
  <c r="I30" i="98" s="1"/>
  <c r="R29" i="98"/>
  <c r="B29" i="98" s="1"/>
  <c r="I29" i="98"/>
  <c r="R28" i="98"/>
  <c r="B28" i="98"/>
  <c r="I28" i="98" s="1"/>
  <c r="B27" i="98"/>
  <c r="I27" i="98" s="1"/>
  <c r="I26" i="98"/>
  <c r="R15" i="98"/>
  <c r="B15" i="98" s="1"/>
  <c r="I15" i="98" s="1"/>
  <c r="I14" i="98"/>
  <c r="I13" i="98"/>
  <c r="J57" i="97"/>
  <c r="B57" i="97"/>
  <c r="B56" i="97"/>
  <c r="B55" i="97" s="1"/>
  <c r="J55" i="97" s="1"/>
  <c r="S54" i="97"/>
  <c r="B54" i="97"/>
  <c r="J54" i="97" s="1"/>
  <c r="S53" i="97"/>
  <c r="B53" i="97" s="1"/>
  <c r="J53" i="97" s="1"/>
  <c r="S52" i="97"/>
  <c r="B52" i="97"/>
  <c r="J52" i="97" s="1"/>
  <c r="B51" i="97"/>
  <c r="J51" i="97" s="1"/>
  <c r="S50" i="97"/>
  <c r="B50" i="97" s="1"/>
  <c r="J50" i="97" s="1"/>
  <c r="J49" i="97"/>
  <c r="B49" i="97"/>
  <c r="J48" i="97"/>
  <c r="B48" i="97"/>
  <c r="B43" i="97"/>
  <c r="B12" i="97" s="1"/>
  <c r="J12" i="97" s="1"/>
  <c r="S37" i="97"/>
  <c r="B37" i="97" s="1"/>
  <c r="J37" i="97" s="1"/>
  <c r="S36" i="97"/>
  <c r="B36" i="97" s="1"/>
  <c r="J36" i="97" s="1"/>
  <c r="S35" i="97"/>
  <c r="B35" i="97"/>
  <c r="J35" i="97" s="1"/>
  <c r="B34" i="97"/>
  <c r="J34" i="97" s="1"/>
  <c r="J33" i="97"/>
  <c r="B33" i="97"/>
  <c r="S32" i="97"/>
  <c r="B32" i="97"/>
  <c r="J32" i="97" s="1"/>
  <c r="J31" i="97"/>
  <c r="B31" i="97"/>
  <c r="J30" i="97"/>
  <c r="B30" i="97"/>
  <c r="J29" i="97"/>
  <c r="B19" i="97"/>
  <c r="S18" i="97"/>
  <c r="B18" i="97"/>
  <c r="J18" i="97" s="1"/>
  <c r="B17" i="97"/>
  <c r="J17" i="97" s="1"/>
  <c r="S16" i="97"/>
  <c r="B16" i="97"/>
  <c r="J16" i="97" s="1"/>
  <c r="B15" i="97"/>
  <c r="J15" i="97" s="1"/>
  <c r="J14" i="97"/>
  <c r="B14" i="97"/>
  <c r="J13" i="97"/>
  <c r="B7" i="97"/>
  <c r="I47" i="96"/>
  <c r="I46" i="96"/>
  <c r="I45" i="96"/>
  <c r="B45" i="96"/>
  <c r="B40" i="96" s="1"/>
  <c r="R34" i="96"/>
  <c r="B34" i="96"/>
  <c r="I34" i="96" s="1"/>
  <c r="R33" i="96"/>
  <c r="I33" i="96"/>
  <c r="B33" i="96"/>
  <c r="R32" i="96"/>
  <c r="B32" i="96"/>
  <c r="I32" i="96" s="1"/>
  <c r="R31" i="96"/>
  <c r="I31" i="96"/>
  <c r="B31" i="96"/>
  <c r="B30" i="96"/>
  <c r="I30" i="96" s="1"/>
  <c r="I29" i="96"/>
  <c r="P28" i="96"/>
  <c r="I28" i="96"/>
  <c r="B23" i="96"/>
  <c r="Q17" i="96"/>
  <c r="B17" i="96"/>
  <c r="I17" i="96" s="1"/>
  <c r="Q16" i="96"/>
  <c r="B16" i="96" s="1"/>
  <c r="I16" i="96" s="1"/>
  <c r="Q15" i="96"/>
  <c r="B15" i="96"/>
  <c r="I15" i="96" s="1"/>
  <c r="P13" i="96"/>
  <c r="I13" i="96"/>
  <c r="B13" i="96"/>
  <c r="B12" i="96"/>
  <c r="I12" i="96" s="1"/>
  <c r="S10" i="96"/>
  <c r="S11" i="96" s="1"/>
  <c r="T14" i="96" s="1"/>
  <c r="B14" i="96" s="1"/>
  <c r="I14" i="96" s="1"/>
  <c r="B7" i="96"/>
  <c r="I104" i="95"/>
  <c r="I103" i="95"/>
  <c r="I102" i="95"/>
  <c r="B100" i="95"/>
  <c r="I100" i="95" s="1"/>
  <c r="B95" i="95"/>
  <c r="I89" i="95"/>
  <c r="I88" i="95"/>
  <c r="I87" i="95"/>
  <c r="I86" i="95"/>
  <c r="B81" i="95"/>
  <c r="B217" i="98" s="1"/>
  <c r="I217" i="98" s="1"/>
  <c r="I75" i="95"/>
  <c r="I74" i="95"/>
  <c r="I73" i="95"/>
  <c r="B68" i="95"/>
  <c r="I62" i="95"/>
  <c r="I61" i="95"/>
  <c r="B61" i="95"/>
  <c r="R60" i="95"/>
  <c r="B60" i="95"/>
  <c r="I60" i="95" s="1"/>
  <c r="I59" i="95"/>
  <c r="B54" i="95"/>
  <c r="R48" i="95"/>
  <c r="B48" i="95" s="1"/>
  <c r="I48" i="95" s="1"/>
  <c r="B47" i="95"/>
  <c r="I47" i="95" s="1"/>
  <c r="R46" i="95"/>
  <c r="B46" i="95" s="1"/>
  <c r="I46" i="95"/>
  <c r="R45" i="95"/>
  <c r="B45" i="95" s="1"/>
  <c r="I45" i="95" s="1"/>
  <c r="I44" i="95"/>
  <c r="B44" i="95"/>
  <c r="B43" i="95"/>
  <c r="I43" i="95" s="1"/>
  <c r="S42" i="95"/>
  <c r="I42" i="95"/>
  <c r="P38" i="95"/>
  <c r="R31" i="95"/>
  <c r="I31" i="95"/>
  <c r="B31" i="95"/>
  <c r="B30" i="95"/>
  <c r="I30" i="95" s="1"/>
  <c r="R29" i="95"/>
  <c r="I29" i="95"/>
  <c r="B29" i="95"/>
  <c r="I28" i="95"/>
  <c r="B23" i="95"/>
  <c r="Q17" i="95"/>
  <c r="B17" i="95"/>
  <c r="I17" i="95" s="1"/>
  <c r="Q16" i="95"/>
  <c r="B16" i="95" s="1"/>
  <c r="I16" i="95" s="1"/>
  <c r="B15" i="95"/>
  <c r="I15" i="95" s="1"/>
  <c r="I14" i="95"/>
  <c r="O13" i="95"/>
  <c r="Q13" i="95" s="1"/>
  <c r="B13" i="95" s="1"/>
  <c r="I13" i="95" s="1"/>
  <c r="I12" i="95"/>
  <c r="B7" i="95"/>
  <c r="B28" i="94"/>
  <c r="Z27" i="94"/>
  <c r="B27" i="94" s="1"/>
  <c r="Z26" i="94"/>
  <c r="B26" i="94" s="1"/>
  <c r="Z25" i="94"/>
  <c r="B25" i="94" s="1"/>
  <c r="Z24" i="94"/>
  <c r="B24" i="94"/>
  <c r="Z23" i="94"/>
  <c r="B23" i="94"/>
  <c r="Z22" i="94"/>
  <c r="B22" i="94" s="1"/>
  <c r="Z21" i="94"/>
  <c r="B21" i="94" s="1"/>
  <c r="Z20" i="94"/>
  <c r="B20" i="94"/>
  <c r="Z19" i="94"/>
  <c r="B19" i="94" s="1"/>
  <c r="Z18" i="94"/>
  <c r="B18" i="94" s="1"/>
  <c r="AB17" i="94"/>
  <c r="Z17" i="94" s="1"/>
  <c r="B17" i="94" s="1"/>
  <c r="Z16" i="94"/>
  <c r="B16" i="94"/>
  <c r="B12" i="98" s="1"/>
  <c r="B7" i="98" s="1"/>
  <c r="Z15" i="94"/>
  <c r="B15" i="94" s="1"/>
  <c r="Z14" i="94"/>
  <c r="B14" i="94"/>
  <c r="Z13" i="94"/>
  <c r="B13" i="94" s="1"/>
  <c r="N1" i="94"/>
  <c r="B361" i="93"/>
  <c r="I361" i="93" s="1"/>
  <c r="R360" i="93"/>
  <c r="B360" i="93" s="1"/>
  <c r="I360" i="93" s="1"/>
  <c r="R359" i="93"/>
  <c r="B359" i="93"/>
  <c r="I359" i="93" s="1"/>
  <c r="R358" i="93"/>
  <c r="B358" i="93" s="1"/>
  <c r="I358" i="93" s="1"/>
  <c r="R357" i="93"/>
  <c r="B357" i="93"/>
  <c r="I357" i="93" s="1"/>
  <c r="B356" i="93"/>
  <c r="I356" i="93" s="1"/>
  <c r="B355" i="93"/>
  <c r="I355" i="93" s="1"/>
  <c r="B354" i="93"/>
  <c r="I354" i="93" s="1"/>
  <c r="R353" i="93"/>
  <c r="B353" i="93" s="1"/>
  <c r="I353" i="93" s="1"/>
  <c r="B352" i="93"/>
  <c r="I352" i="93" s="1"/>
  <c r="I351" i="93"/>
  <c r="B351" i="93"/>
  <c r="I350" i="93"/>
  <c r="B339" i="93"/>
  <c r="I339" i="93" s="1"/>
  <c r="B338" i="93"/>
  <c r="I338" i="93" s="1"/>
  <c r="R337" i="93"/>
  <c r="B337" i="93" s="1"/>
  <c r="I337" i="93"/>
  <c r="R336" i="93"/>
  <c r="B336" i="93" s="1"/>
  <c r="I336" i="93" s="1"/>
  <c r="B335" i="93"/>
  <c r="I335" i="93" s="1"/>
  <c r="R334" i="93"/>
  <c r="B334" i="93" s="1"/>
  <c r="I334" i="93"/>
  <c r="B333" i="93"/>
  <c r="I333" i="93" s="1"/>
  <c r="I332" i="93"/>
  <c r="B332" i="93"/>
  <c r="B331" i="93"/>
  <c r="I331" i="93" s="1"/>
  <c r="R330" i="93"/>
  <c r="B330" i="93" s="1"/>
  <c r="I330" i="93" s="1"/>
  <c r="B329" i="93"/>
  <c r="I329" i="93" s="1"/>
  <c r="B328" i="93"/>
  <c r="I328" i="93" s="1"/>
  <c r="B323" i="93"/>
  <c r="I317" i="93"/>
  <c r="B317" i="93"/>
  <c r="B316" i="93"/>
  <c r="I316" i="93" s="1"/>
  <c r="B315" i="93"/>
  <c r="I315" i="93" s="1"/>
  <c r="B314" i="93"/>
  <c r="I314" i="93" s="1"/>
  <c r="I313" i="93"/>
  <c r="B313" i="93"/>
  <c r="B312" i="93"/>
  <c r="I312" i="93" s="1"/>
  <c r="B311" i="93"/>
  <c r="I311" i="93" s="1"/>
  <c r="B310" i="93"/>
  <c r="I310" i="93" s="1"/>
  <c r="I309" i="93"/>
  <c r="B309" i="93"/>
  <c r="B308" i="93"/>
  <c r="I308" i="93" s="1"/>
  <c r="B307" i="93"/>
  <c r="I307" i="93" s="1"/>
  <c r="B302" i="93"/>
  <c r="R296" i="93"/>
  <c r="B296" i="93" s="1"/>
  <c r="I296" i="93" s="1"/>
  <c r="R295" i="93"/>
  <c r="B295" i="93" s="1"/>
  <c r="I295" i="93" s="1"/>
  <c r="B294" i="93"/>
  <c r="I294" i="93" s="1"/>
  <c r="I293" i="93"/>
  <c r="B293" i="93"/>
  <c r="P292" i="93"/>
  <c r="I292" i="93"/>
  <c r="P291" i="93"/>
  <c r="I291" i="93"/>
  <c r="S288" i="93"/>
  <c r="S289" i="93" s="1"/>
  <c r="T292" i="93" s="1"/>
  <c r="B286" i="93"/>
  <c r="R280" i="93"/>
  <c r="B280" i="93"/>
  <c r="I280" i="93" s="1"/>
  <c r="R279" i="93"/>
  <c r="B279" i="93"/>
  <c r="I279" i="93" s="1"/>
  <c r="R278" i="93"/>
  <c r="B278" i="93" s="1"/>
  <c r="I278" i="93" s="1"/>
  <c r="P277" i="93"/>
  <c r="I277" i="93"/>
  <c r="B277" i="93"/>
  <c r="B276" i="93"/>
  <c r="I276" i="93" s="1"/>
  <c r="I275" i="93"/>
  <c r="B270" i="93"/>
  <c r="R264" i="93"/>
  <c r="B264" i="93" s="1"/>
  <c r="I264" i="93" s="1"/>
  <c r="R263" i="93"/>
  <c r="B263" i="93"/>
  <c r="I263" i="93" s="1"/>
  <c r="R262" i="93"/>
  <c r="B262" i="93" s="1"/>
  <c r="I262" i="93"/>
  <c r="R261" i="93"/>
  <c r="B261" i="93" s="1"/>
  <c r="I261" i="93" s="1"/>
  <c r="R260" i="93"/>
  <c r="B260" i="93"/>
  <c r="I260" i="93" s="1"/>
  <c r="I259" i="93"/>
  <c r="B259" i="93"/>
  <c r="I258" i="93"/>
  <c r="B258" i="93"/>
  <c r="B253" i="93"/>
  <c r="B247" i="93"/>
  <c r="I247" i="93" s="1"/>
  <c r="B246" i="93"/>
  <c r="I246" i="93" s="1"/>
  <c r="I235" i="93"/>
  <c r="B235" i="93"/>
  <c r="B233" i="93"/>
  <c r="I233" i="93" s="1"/>
  <c r="I232" i="93"/>
  <c r="B227" i="93"/>
  <c r="R221" i="93"/>
  <c r="B221" i="93" s="1"/>
  <c r="I221" i="93" s="1"/>
  <c r="R220" i="93"/>
  <c r="B220" i="93"/>
  <c r="I220" i="93" s="1"/>
  <c r="R219" i="93"/>
  <c r="B219" i="93" s="1"/>
  <c r="I219" i="93" s="1"/>
  <c r="R218" i="93"/>
  <c r="B218" i="93" s="1"/>
  <c r="I218" i="93" s="1"/>
  <c r="B217" i="93"/>
  <c r="I217" i="93" s="1"/>
  <c r="I216" i="93"/>
  <c r="B216" i="93"/>
  <c r="P215" i="93"/>
  <c r="I215" i="93"/>
  <c r="B210" i="93"/>
  <c r="B204" i="93"/>
  <c r="I204" i="93" s="1"/>
  <c r="I203" i="93"/>
  <c r="P201" i="93"/>
  <c r="I201" i="93"/>
  <c r="P200" i="93"/>
  <c r="I200" i="93"/>
  <c r="R195" i="93"/>
  <c r="R196" i="93" s="1"/>
  <c r="S199" i="93" s="1"/>
  <c r="B202" i="93" s="1"/>
  <c r="I202" i="93" s="1"/>
  <c r="B195" i="93"/>
  <c r="R189" i="93"/>
  <c r="B189" i="93" s="1"/>
  <c r="I189" i="93" s="1"/>
  <c r="R188" i="93"/>
  <c r="B188" i="93"/>
  <c r="I188" i="93" s="1"/>
  <c r="R187" i="93"/>
  <c r="B187" i="93" s="1"/>
  <c r="I187" i="93" s="1"/>
  <c r="P186" i="93"/>
  <c r="B186" i="93"/>
  <c r="I186" i="93" s="1"/>
  <c r="I185" i="93"/>
  <c r="I184" i="93"/>
  <c r="B179" i="93"/>
  <c r="R173" i="93"/>
  <c r="B173" i="93" s="1"/>
  <c r="I173" i="93" s="1"/>
  <c r="R172" i="93"/>
  <c r="B172" i="93"/>
  <c r="I172" i="93" s="1"/>
  <c r="R171" i="93"/>
  <c r="B171" i="93" s="1"/>
  <c r="I171" i="93"/>
  <c r="R170" i="93"/>
  <c r="B170" i="93"/>
  <c r="I170" i="93" s="1"/>
  <c r="R169" i="93"/>
  <c r="B169" i="93"/>
  <c r="I169" i="93" s="1"/>
  <c r="I168" i="93"/>
  <c r="I167" i="93"/>
  <c r="B162" i="93"/>
  <c r="B156" i="93"/>
  <c r="I156" i="93" s="1"/>
  <c r="R155" i="93"/>
  <c r="B155" i="93"/>
  <c r="I155" i="93" s="1"/>
  <c r="I154" i="93"/>
  <c r="I153" i="93"/>
  <c r="I152" i="93"/>
  <c r="B147" i="93"/>
  <c r="R141" i="93"/>
  <c r="B141" i="93"/>
  <c r="I141" i="93" s="1"/>
  <c r="R140" i="93"/>
  <c r="B140" i="93" s="1"/>
  <c r="I140" i="93" s="1"/>
  <c r="I139" i="93"/>
  <c r="I138" i="93"/>
  <c r="B133" i="93"/>
  <c r="R127" i="93"/>
  <c r="B127" i="93"/>
  <c r="I127" i="93" s="1"/>
  <c r="R126" i="93"/>
  <c r="B126" i="93" s="1"/>
  <c r="I126" i="93" s="1"/>
  <c r="R125" i="93"/>
  <c r="B125" i="93" s="1"/>
  <c r="I125" i="93" s="1"/>
  <c r="B124" i="93"/>
  <c r="I124" i="93" s="1"/>
  <c r="I123" i="93"/>
  <c r="R112" i="93"/>
  <c r="B112" i="93" s="1"/>
  <c r="I112" i="93" s="1"/>
  <c r="I111" i="93"/>
  <c r="R110" i="93"/>
  <c r="B110" i="93"/>
  <c r="I110" i="93" s="1"/>
  <c r="I109" i="93"/>
  <c r="B109" i="93"/>
  <c r="I108" i="93"/>
  <c r="R97" i="93"/>
  <c r="B97" i="93"/>
  <c r="I97" i="93" s="1"/>
  <c r="I96" i="93"/>
  <c r="I95" i="93"/>
  <c r="I84" i="93"/>
  <c r="I83" i="93"/>
  <c r="I82" i="93"/>
  <c r="B77" i="93"/>
  <c r="R71" i="93"/>
  <c r="B71" i="93"/>
  <c r="I71" i="93" s="1"/>
  <c r="I70" i="93"/>
  <c r="I69" i="93"/>
  <c r="B69" i="93"/>
  <c r="I68" i="93"/>
  <c r="R57" i="93"/>
  <c r="B57" i="93" s="1"/>
  <c r="I57" i="93" s="1"/>
  <c r="R56" i="93"/>
  <c r="B56" i="93"/>
  <c r="I56" i="93" s="1"/>
  <c r="R55" i="93"/>
  <c r="B55" i="93"/>
  <c r="I55" i="93" s="1"/>
  <c r="B50" i="93"/>
  <c r="R44" i="93"/>
  <c r="B44" i="93"/>
  <c r="I44" i="93" s="1"/>
  <c r="I43" i="93"/>
  <c r="R42" i="93"/>
  <c r="I42" i="93"/>
  <c r="B42" i="93"/>
  <c r="I41" i="93"/>
  <c r="R30" i="93"/>
  <c r="B30" i="93"/>
  <c r="I30" i="93" s="1"/>
  <c r="R29" i="93"/>
  <c r="B29" i="93" s="1"/>
  <c r="I29" i="93" s="1"/>
  <c r="R28" i="93"/>
  <c r="I28" i="93"/>
  <c r="B28" i="93"/>
  <c r="I27" i="93"/>
  <c r="I26" i="93"/>
  <c r="R15" i="93"/>
  <c r="B15" i="93" s="1"/>
  <c r="I15" i="93" s="1"/>
  <c r="I14" i="93"/>
  <c r="I13" i="93"/>
  <c r="B57" i="92"/>
  <c r="J57" i="92" s="1"/>
  <c r="B56" i="92"/>
  <c r="J56" i="92" s="1"/>
  <c r="B55" i="92"/>
  <c r="J55" i="92" s="1"/>
  <c r="S54" i="92"/>
  <c r="B54" i="92"/>
  <c r="J54" i="92" s="1"/>
  <c r="S53" i="92"/>
  <c r="B53" i="92" s="1"/>
  <c r="J53" i="92" s="1"/>
  <c r="S52" i="92"/>
  <c r="B52" i="92"/>
  <c r="J52" i="92" s="1"/>
  <c r="B51" i="92"/>
  <c r="J51" i="92" s="1"/>
  <c r="S50" i="92"/>
  <c r="B50" i="92" s="1"/>
  <c r="J50" i="92" s="1"/>
  <c r="B49" i="92"/>
  <c r="J49" i="92" s="1"/>
  <c r="B48" i="92"/>
  <c r="J48" i="92" s="1"/>
  <c r="B43" i="92"/>
  <c r="S37" i="92"/>
  <c r="B37" i="92" s="1"/>
  <c r="J37" i="92" s="1"/>
  <c r="S36" i="92"/>
  <c r="B36" i="92"/>
  <c r="J36" i="92" s="1"/>
  <c r="S35" i="92"/>
  <c r="B35" i="92"/>
  <c r="J35" i="92" s="1"/>
  <c r="J34" i="92"/>
  <c r="B33" i="92"/>
  <c r="J33" i="92" s="1"/>
  <c r="S32" i="92"/>
  <c r="B32" i="92"/>
  <c r="J32" i="92" s="1"/>
  <c r="B31" i="92"/>
  <c r="J31" i="92" s="1"/>
  <c r="B30" i="92"/>
  <c r="J30" i="92" s="1"/>
  <c r="J29" i="92"/>
  <c r="B19" i="92"/>
  <c r="S18" i="92"/>
  <c r="B18" i="92"/>
  <c r="J18" i="92" s="1"/>
  <c r="J17" i="92"/>
  <c r="B17" i="92"/>
  <c r="S16" i="92"/>
  <c r="B16" i="92"/>
  <c r="J16" i="92" s="1"/>
  <c r="B15" i="92"/>
  <c r="J15" i="92" s="1"/>
  <c r="B14" i="92"/>
  <c r="J14" i="92" s="1"/>
  <c r="J13" i="92"/>
  <c r="J12" i="92"/>
  <c r="B12" i="92"/>
  <c r="B9" i="92"/>
  <c r="B7" i="92"/>
  <c r="I47" i="91"/>
  <c r="I46" i="91"/>
  <c r="I45" i="91"/>
  <c r="B45" i="91"/>
  <c r="B40" i="91" s="1"/>
  <c r="R34" i="91"/>
  <c r="B34" i="91" s="1"/>
  <c r="I34" i="91" s="1"/>
  <c r="R33" i="91"/>
  <c r="B33" i="91"/>
  <c r="I33" i="91" s="1"/>
  <c r="R32" i="91"/>
  <c r="B32" i="91"/>
  <c r="I32" i="91" s="1"/>
  <c r="R31" i="91"/>
  <c r="B31" i="91"/>
  <c r="I31" i="91" s="1"/>
  <c r="I30" i="91"/>
  <c r="B30" i="91"/>
  <c r="I29" i="91"/>
  <c r="P28" i="91"/>
  <c r="I28" i="91"/>
  <c r="Q17" i="91"/>
  <c r="B17" i="91"/>
  <c r="I17" i="91" s="1"/>
  <c r="Q16" i="91"/>
  <c r="B16" i="91" s="1"/>
  <c r="I16" i="91" s="1"/>
  <c r="Q15" i="91"/>
  <c r="B15" i="91"/>
  <c r="I15" i="91" s="1"/>
  <c r="P13" i="91"/>
  <c r="I13" i="91"/>
  <c r="P12" i="91"/>
  <c r="I12" i="91"/>
  <c r="S11" i="91"/>
  <c r="T14" i="91" s="1"/>
  <c r="B14" i="91" s="1"/>
  <c r="I14" i="91" s="1"/>
  <c r="S10" i="91"/>
  <c r="B7" i="91"/>
  <c r="I104" i="90"/>
  <c r="I103" i="90"/>
  <c r="I102" i="90"/>
  <c r="I101" i="90"/>
  <c r="I100" i="90"/>
  <c r="B95" i="90"/>
  <c r="I89" i="90"/>
  <c r="I88" i="90"/>
  <c r="I87" i="90"/>
  <c r="I86" i="90"/>
  <c r="B75" i="90"/>
  <c r="I75" i="90" s="1"/>
  <c r="I74" i="90"/>
  <c r="I73" i="90"/>
  <c r="B62" i="90"/>
  <c r="I62" i="90" s="1"/>
  <c r="I61" i="90"/>
  <c r="R60" i="90"/>
  <c r="I60" i="90"/>
  <c r="B60" i="90"/>
  <c r="B59" i="90"/>
  <c r="I59" i="90" s="1"/>
  <c r="R48" i="90"/>
  <c r="B48" i="90"/>
  <c r="I48" i="90" s="1"/>
  <c r="I47" i="90"/>
  <c r="B47" i="90"/>
  <c r="R46" i="90"/>
  <c r="I46" i="90"/>
  <c r="B46" i="90"/>
  <c r="R45" i="90"/>
  <c r="B45" i="90"/>
  <c r="I45" i="90" s="1"/>
  <c r="B44" i="90"/>
  <c r="I44" i="90" s="1"/>
  <c r="I43" i="90"/>
  <c r="I42" i="90"/>
  <c r="O37" i="90"/>
  <c r="B37" i="90"/>
  <c r="R31" i="90"/>
  <c r="B31" i="90" s="1"/>
  <c r="I31" i="90"/>
  <c r="B30" i="90"/>
  <c r="I30" i="90" s="1"/>
  <c r="R29" i="90"/>
  <c r="B29" i="90"/>
  <c r="I29" i="90" s="1"/>
  <c r="I28" i="90"/>
  <c r="B23" i="90"/>
  <c r="Q17" i="90"/>
  <c r="B17" i="90" s="1"/>
  <c r="I17" i="90" s="1"/>
  <c r="Q16" i="90"/>
  <c r="B16" i="90"/>
  <c r="I16" i="90" s="1"/>
  <c r="I15" i="90"/>
  <c r="B15" i="90"/>
  <c r="I14" i="90"/>
  <c r="Q13" i="90"/>
  <c r="B13" i="90"/>
  <c r="I13" i="90" s="1"/>
  <c r="I12" i="90"/>
  <c r="B7" i="90"/>
  <c r="Z27" i="89"/>
  <c r="B27" i="89" s="1"/>
  <c r="Z26" i="89"/>
  <c r="B26" i="89" s="1"/>
  <c r="Z25" i="89"/>
  <c r="B25" i="89" s="1"/>
  <c r="Z24" i="89"/>
  <c r="B24" i="89"/>
  <c r="Z23" i="89"/>
  <c r="B23" i="89" s="1"/>
  <c r="Z22" i="89"/>
  <c r="B22" i="89" s="1"/>
  <c r="Z21" i="89"/>
  <c r="B21" i="89" s="1"/>
  <c r="Z20" i="89"/>
  <c r="B20" i="89"/>
  <c r="Z19" i="89"/>
  <c r="B19" i="89" s="1"/>
  <c r="Z18" i="89"/>
  <c r="B18" i="89" s="1"/>
  <c r="AB17" i="89"/>
  <c r="Z17" i="89" s="1"/>
  <c r="B17" i="89" s="1"/>
  <c r="Z16" i="89"/>
  <c r="B16" i="89"/>
  <c r="B12" i="93" s="1"/>
  <c r="B7" i="93" s="1"/>
  <c r="Z15" i="89"/>
  <c r="B15" i="89" s="1"/>
  <c r="N32" i="89" s="1"/>
  <c r="Z14" i="89"/>
  <c r="B14" i="89"/>
  <c r="Z13" i="89"/>
  <c r="B13" i="89"/>
  <c r="N1" i="89"/>
  <c r="I362" i="88"/>
  <c r="B362" i="88"/>
  <c r="R361" i="88"/>
  <c r="B361" i="88"/>
  <c r="I361" i="88" s="1"/>
  <c r="R360" i="88"/>
  <c r="B360" i="88"/>
  <c r="I360" i="88" s="1"/>
  <c r="R359" i="88"/>
  <c r="B359" i="88" s="1"/>
  <c r="I359" i="88" s="1"/>
  <c r="R358" i="88"/>
  <c r="I358" i="88"/>
  <c r="B358" i="88"/>
  <c r="B357" i="88"/>
  <c r="I357" i="88" s="1"/>
  <c r="I356" i="88"/>
  <c r="B356" i="88"/>
  <c r="B355" i="88"/>
  <c r="I355" i="88" s="1"/>
  <c r="R354" i="88"/>
  <c r="B354" i="88"/>
  <c r="I354" i="88" s="1"/>
  <c r="B353" i="88"/>
  <c r="I353" i="88" s="1"/>
  <c r="B352" i="88"/>
  <c r="I352" i="88" s="1"/>
  <c r="B351" i="88"/>
  <c r="I351" i="88" s="1"/>
  <c r="B340" i="88"/>
  <c r="I340" i="88" s="1"/>
  <c r="I339" i="88"/>
  <c r="B339" i="88"/>
  <c r="R338" i="88"/>
  <c r="B338" i="88"/>
  <c r="I338" i="88" s="1"/>
  <c r="R337" i="88"/>
  <c r="B337" i="88"/>
  <c r="I337" i="88" s="1"/>
  <c r="I336" i="88"/>
  <c r="B336" i="88"/>
  <c r="R335" i="88"/>
  <c r="B335" i="88"/>
  <c r="I335" i="88" s="1"/>
  <c r="B334" i="88"/>
  <c r="I334" i="88" s="1"/>
  <c r="B333" i="88"/>
  <c r="I333" i="88" s="1"/>
  <c r="B332" i="88"/>
  <c r="I332" i="88" s="1"/>
  <c r="R331" i="88"/>
  <c r="B331" i="88" s="1"/>
  <c r="I331" i="88" s="1"/>
  <c r="B330" i="88"/>
  <c r="B318" i="88"/>
  <c r="I318" i="88" s="1"/>
  <c r="B317" i="88"/>
  <c r="I317" i="88" s="1"/>
  <c r="B316" i="88"/>
  <c r="I316" i="88" s="1"/>
  <c r="B315" i="88"/>
  <c r="I315" i="88" s="1"/>
  <c r="B314" i="88"/>
  <c r="I314" i="88" s="1"/>
  <c r="B313" i="88"/>
  <c r="I313" i="88" s="1"/>
  <c r="I312" i="88"/>
  <c r="B312" i="88"/>
  <c r="B311" i="88"/>
  <c r="I311" i="88" s="1"/>
  <c r="B310" i="88"/>
  <c r="I310" i="88" s="1"/>
  <c r="I309" i="88"/>
  <c r="B308" i="88"/>
  <c r="I308" i="88" s="1"/>
  <c r="B303" i="88"/>
  <c r="I297" i="88"/>
  <c r="I296" i="88"/>
  <c r="I295" i="88"/>
  <c r="P293" i="88"/>
  <c r="I293" i="88"/>
  <c r="P292" i="88"/>
  <c r="I292" i="88"/>
  <c r="S289" i="88"/>
  <c r="S290" i="88" s="1"/>
  <c r="T293" i="88" s="1"/>
  <c r="B294" i="88" s="1"/>
  <c r="I294" i="88" s="1"/>
  <c r="B287" i="88"/>
  <c r="R281" i="88"/>
  <c r="B281" i="88"/>
  <c r="I281" i="88" s="1"/>
  <c r="R280" i="88"/>
  <c r="I280" i="88"/>
  <c r="B280" i="88"/>
  <c r="R279" i="88"/>
  <c r="B279" i="88"/>
  <c r="I279" i="88" s="1"/>
  <c r="P278" i="88"/>
  <c r="B278" i="88" s="1"/>
  <c r="I278" i="88" s="1"/>
  <c r="R265" i="88"/>
  <c r="B265" i="88" s="1"/>
  <c r="I265" i="88"/>
  <c r="R264" i="88"/>
  <c r="B264" i="88" s="1"/>
  <c r="I264" i="88" s="1"/>
  <c r="R263" i="88"/>
  <c r="B263" i="88"/>
  <c r="I263" i="88" s="1"/>
  <c r="R262" i="88"/>
  <c r="B262" i="88" s="1"/>
  <c r="I262" i="88" s="1"/>
  <c r="R261" i="88"/>
  <c r="B261" i="88" s="1"/>
  <c r="I261" i="88" s="1"/>
  <c r="R248" i="88"/>
  <c r="B248" i="88" s="1"/>
  <c r="I236" i="88"/>
  <c r="R222" i="88"/>
  <c r="B222" i="88" s="1"/>
  <c r="I222" i="88" s="1"/>
  <c r="R221" i="88"/>
  <c r="B221" i="88"/>
  <c r="I221" i="88" s="1"/>
  <c r="R220" i="88"/>
  <c r="B220" i="88" s="1"/>
  <c r="I220" i="88"/>
  <c r="R219" i="88"/>
  <c r="B219" i="88" s="1"/>
  <c r="I219" i="88" s="1"/>
  <c r="B218" i="88"/>
  <c r="I218" i="88" s="1"/>
  <c r="I217" i="88"/>
  <c r="B217" i="88"/>
  <c r="P216" i="88"/>
  <c r="I216" i="88"/>
  <c r="B216" i="88"/>
  <c r="I205" i="88"/>
  <c r="B205" i="88"/>
  <c r="B204" i="88"/>
  <c r="I204" i="88" s="1"/>
  <c r="I203" i="88"/>
  <c r="I202" i="88"/>
  <c r="P201" i="88"/>
  <c r="I201" i="88"/>
  <c r="P200" i="88"/>
  <c r="I200" i="88"/>
  <c r="S199" i="88"/>
  <c r="T202" i="88" s="1"/>
  <c r="B202" i="88" s="1"/>
  <c r="S198" i="88"/>
  <c r="B195" i="88"/>
  <c r="R189" i="88"/>
  <c r="I189" i="88"/>
  <c r="B189" i="88"/>
  <c r="R188" i="88"/>
  <c r="I188" i="88"/>
  <c r="B188" i="88"/>
  <c r="R187" i="88"/>
  <c r="B187" i="88" s="1"/>
  <c r="I187" i="88"/>
  <c r="P186" i="88"/>
  <c r="B186" i="88"/>
  <c r="I186" i="88" s="1"/>
  <c r="I185" i="88"/>
  <c r="I184" i="88"/>
  <c r="B179" i="88"/>
  <c r="R173" i="88"/>
  <c r="B173" i="88" s="1"/>
  <c r="I173" i="88" s="1"/>
  <c r="R172" i="88"/>
  <c r="B172" i="88"/>
  <c r="I172" i="88" s="1"/>
  <c r="R171" i="88"/>
  <c r="B171" i="88" s="1"/>
  <c r="I171" i="88" s="1"/>
  <c r="R170" i="88"/>
  <c r="B170" i="88"/>
  <c r="I170" i="88" s="1"/>
  <c r="R169" i="88"/>
  <c r="B169" i="88"/>
  <c r="I169" i="88" s="1"/>
  <c r="B168" i="88"/>
  <c r="I156" i="88"/>
  <c r="R155" i="88"/>
  <c r="B155" i="88" s="1"/>
  <c r="I155" i="88"/>
  <c r="R141" i="88"/>
  <c r="B141" i="88" s="1"/>
  <c r="I141" i="88"/>
  <c r="R140" i="88"/>
  <c r="B140" i="88"/>
  <c r="I140" i="88" s="1"/>
  <c r="I139" i="88"/>
  <c r="I138" i="88"/>
  <c r="B133" i="88"/>
  <c r="R127" i="88"/>
  <c r="B127" i="88" s="1"/>
  <c r="I127" i="88" s="1"/>
  <c r="R126" i="88"/>
  <c r="B126" i="88"/>
  <c r="I126" i="88" s="1"/>
  <c r="R125" i="88"/>
  <c r="B125" i="88" s="1"/>
  <c r="I125" i="88" s="1"/>
  <c r="I124" i="88"/>
  <c r="I123" i="88"/>
  <c r="R112" i="88"/>
  <c r="B112" i="88"/>
  <c r="I112" i="88" s="1"/>
  <c r="I111" i="88"/>
  <c r="R110" i="88"/>
  <c r="U110" i="88" s="1"/>
  <c r="B110" i="88" s="1"/>
  <c r="I110" i="88" s="1"/>
  <c r="B109" i="88"/>
  <c r="I109" i="88" s="1"/>
  <c r="I108" i="88"/>
  <c r="R97" i="88"/>
  <c r="B97" i="88" s="1"/>
  <c r="I97" i="88" s="1"/>
  <c r="I96" i="88"/>
  <c r="I95" i="88"/>
  <c r="I84" i="88"/>
  <c r="I83" i="88"/>
  <c r="I82" i="88"/>
  <c r="R71" i="88"/>
  <c r="B71" i="88"/>
  <c r="I71" i="88" s="1"/>
  <c r="I70" i="88"/>
  <c r="I69" i="88"/>
  <c r="I68" i="88"/>
  <c r="R57" i="88"/>
  <c r="I57" i="88"/>
  <c r="B57" i="88"/>
  <c r="R56" i="88"/>
  <c r="B56" i="88" s="1"/>
  <c r="I56" i="88"/>
  <c r="R55" i="88"/>
  <c r="I55" i="88"/>
  <c r="R44" i="88"/>
  <c r="B44" i="88"/>
  <c r="I44" i="88" s="1"/>
  <c r="I43" i="88"/>
  <c r="R42" i="88"/>
  <c r="I42" i="88"/>
  <c r="I41" i="88"/>
  <c r="R30" i="88"/>
  <c r="B30" i="88"/>
  <c r="I30" i="88" s="1"/>
  <c r="R29" i="88"/>
  <c r="B29" i="88"/>
  <c r="I29" i="88" s="1"/>
  <c r="R28" i="88"/>
  <c r="B28" i="88" s="1"/>
  <c r="I28" i="88" s="1"/>
  <c r="I27" i="88"/>
  <c r="R15" i="88"/>
  <c r="B15" i="88" s="1"/>
  <c r="I15" i="88" s="1"/>
  <c r="B12" i="88"/>
  <c r="B57" i="87"/>
  <c r="J57" i="87" s="1"/>
  <c r="B56" i="87"/>
  <c r="J56" i="87" s="1"/>
  <c r="S55" i="87"/>
  <c r="B55" i="87" s="1"/>
  <c r="J55" i="87" s="1"/>
  <c r="S54" i="87"/>
  <c r="J54" i="87"/>
  <c r="B54" i="87"/>
  <c r="S53" i="87"/>
  <c r="B53" i="87"/>
  <c r="J53" i="87" s="1"/>
  <c r="S52" i="87"/>
  <c r="B52" i="87" s="1"/>
  <c r="J52" i="87" s="1"/>
  <c r="J51" i="87"/>
  <c r="B51" i="87"/>
  <c r="S50" i="87"/>
  <c r="J50" i="87"/>
  <c r="B50" i="87"/>
  <c r="B49" i="87"/>
  <c r="J49" i="87" s="1"/>
  <c r="J48" i="87"/>
  <c r="S37" i="87"/>
  <c r="B37" i="87" s="1"/>
  <c r="J37" i="87" s="1"/>
  <c r="S36" i="87"/>
  <c r="B36" i="87" s="1"/>
  <c r="J36" i="87"/>
  <c r="S35" i="87"/>
  <c r="B35" i="87"/>
  <c r="J35" i="87" s="1"/>
  <c r="B34" i="87"/>
  <c r="J34" i="87" s="1"/>
  <c r="B33" i="87"/>
  <c r="J33" i="87" s="1"/>
  <c r="S32" i="87"/>
  <c r="B32" i="87"/>
  <c r="J32" i="87" s="1"/>
  <c r="J31" i="87"/>
  <c r="B31" i="87"/>
  <c r="J30" i="87"/>
  <c r="J29" i="87"/>
  <c r="B19" i="87"/>
  <c r="S18" i="87"/>
  <c r="B18" i="87" s="1"/>
  <c r="J18" i="87" s="1"/>
  <c r="J17" i="87"/>
  <c r="B17" i="87"/>
  <c r="S16" i="87"/>
  <c r="J16" i="87"/>
  <c r="B16" i="87"/>
  <c r="B15" i="87"/>
  <c r="J15" i="87" s="1"/>
  <c r="B14" i="87"/>
  <c r="J14" i="87" s="1"/>
  <c r="B12" i="87"/>
  <c r="J12" i="87" s="1"/>
  <c r="B7" i="87"/>
  <c r="I47" i="86"/>
  <c r="I46" i="86"/>
  <c r="B45" i="86"/>
  <c r="I45" i="86" s="1"/>
  <c r="B40" i="86"/>
  <c r="B34" i="86"/>
  <c r="I34" i="86" s="1"/>
  <c r="B33" i="86"/>
  <c r="I33" i="86" s="1"/>
  <c r="R32" i="86"/>
  <c r="B32" i="86" s="1"/>
  <c r="I32" i="86" s="1"/>
  <c r="R31" i="86"/>
  <c r="B31" i="86" s="1"/>
  <c r="I31" i="86" s="1"/>
  <c r="I30" i="86"/>
  <c r="B30" i="86"/>
  <c r="I29" i="86"/>
  <c r="P28" i="86"/>
  <c r="I28" i="86"/>
  <c r="B23" i="86"/>
  <c r="B13" i="86" s="1"/>
  <c r="B17" i="86"/>
  <c r="I17" i="86" s="1"/>
  <c r="I15" i="86"/>
  <c r="I14" i="86"/>
  <c r="P12" i="86"/>
  <c r="I12" i="86"/>
  <c r="S9" i="86"/>
  <c r="S10" i="86" s="1"/>
  <c r="T13" i="86" s="1"/>
  <c r="B16" i="86" s="1"/>
  <c r="I16" i="86" s="1"/>
  <c r="B7" i="86"/>
  <c r="I104" i="85"/>
  <c r="I103" i="85"/>
  <c r="I102" i="85"/>
  <c r="I101" i="85"/>
  <c r="I100" i="85"/>
  <c r="B95" i="85"/>
  <c r="I89" i="85"/>
  <c r="I88" i="85"/>
  <c r="I87" i="85"/>
  <c r="I86" i="85"/>
  <c r="B81" i="85"/>
  <c r="B75" i="85"/>
  <c r="I75" i="85" s="1"/>
  <c r="I74" i="85"/>
  <c r="I73" i="85"/>
  <c r="I62" i="85"/>
  <c r="I61" i="85"/>
  <c r="B61" i="85"/>
  <c r="R60" i="85"/>
  <c r="I60" i="85"/>
  <c r="B60" i="85"/>
  <c r="I59" i="85"/>
  <c r="R48" i="85"/>
  <c r="B48" i="85"/>
  <c r="I48" i="85" s="1"/>
  <c r="B47" i="85"/>
  <c r="I47" i="85" s="1"/>
  <c r="R46" i="85"/>
  <c r="B46" i="85" s="1"/>
  <c r="I46" i="85" s="1"/>
  <c r="R45" i="85"/>
  <c r="B45" i="85"/>
  <c r="I45" i="85" s="1"/>
  <c r="B44" i="85"/>
  <c r="I44" i="85" s="1"/>
  <c r="B43" i="85"/>
  <c r="I43" i="85" s="1"/>
  <c r="I42" i="85"/>
  <c r="O37" i="85"/>
  <c r="B37" i="85"/>
  <c r="R31" i="85"/>
  <c r="B31" i="85" s="1"/>
  <c r="I31" i="85" s="1"/>
  <c r="B30" i="85"/>
  <c r="I30" i="85" s="1"/>
  <c r="R29" i="85"/>
  <c r="B29" i="85" s="1"/>
  <c r="I29" i="85" s="1"/>
  <c r="I28" i="85"/>
  <c r="B23" i="85"/>
  <c r="Q17" i="85"/>
  <c r="I17" i="85"/>
  <c r="B17" i="85"/>
  <c r="Q16" i="85"/>
  <c r="B16" i="85" s="1"/>
  <c r="I16" i="85" s="1"/>
  <c r="I15" i="85"/>
  <c r="B15" i="85"/>
  <c r="I14" i="85"/>
  <c r="Q13" i="85"/>
  <c r="S13" i="85" s="1"/>
  <c r="I13" i="85"/>
  <c r="I12" i="85"/>
  <c r="B7" i="85"/>
  <c r="R27" i="84"/>
  <c r="B27" i="84"/>
  <c r="S26" i="84"/>
  <c r="R26" i="84"/>
  <c r="S25" i="84"/>
  <c r="R25" i="84"/>
  <c r="S24" i="84"/>
  <c r="R24" i="84"/>
  <c r="S23" i="84"/>
  <c r="R23" i="84"/>
  <c r="B23" i="84"/>
  <c r="S22" i="84"/>
  <c r="R22" i="84"/>
  <c r="S21" i="84"/>
  <c r="R21" i="84"/>
  <c r="S20" i="84"/>
  <c r="R20" i="84"/>
  <c r="S19" i="84"/>
  <c r="R19" i="84"/>
  <c r="S18" i="84"/>
  <c r="R18" i="84"/>
  <c r="T17" i="84"/>
  <c r="S17" i="84" s="1"/>
  <c r="B17" i="84" s="1"/>
  <c r="R17" i="84"/>
  <c r="S16" i="84"/>
  <c r="R16" i="84"/>
  <c r="S15" i="84"/>
  <c r="R15" i="84"/>
  <c r="S14" i="84"/>
  <c r="R14" i="84"/>
  <c r="S13" i="84"/>
  <c r="R13" i="84"/>
  <c r="T70" i="83"/>
  <c r="B70" i="83"/>
  <c r="J70" i="83" s="1"/>
  <c r="T69" i="83"/>
  <c r="B69" i="83" s="1"/>
  <c r="J69" i="83" s="1"/>
  <c r="T68" i="83"/>
  <c r="B68" i="83" s="1"/>
  <c r="J68" i="83" s="1"/>
  <c r="T67" i="83"/>
  <c r="B67" i="83" s="1"/>
  <c r="J67" i="83" s="1"/>
  <c r="T66" i="83"/>
  <c r="B66" i="83"/>
  <c r="J66" i="83" s="1"/>
  <c r="T65" i="83"/>
  <c r="B65" i="83"/>
  <c r="J65" i="83" s="1"/>
  <c r="T64" i="83"/>
  <c r="B64" i="83" s="1"/>
  <c r="J64" i="83" s="1"/>
  <c r="T63" i="83"/>
  <c r="J63" i="83"/>
  <c r="B63" i="83"/>
  <c r="T62" i="83"/>
  <c r="B62" i="83"/>
  <c r="J62" i="83" s="1"/>
  <c r="T61" i="83"/>
  <c r="B61" i="83" s="1"/>
  <c r="J61" i="83" s="1"/>
  <c r="T60" i="83"/>
  <c r="B60" i="83" s="1"/>
  <c r="J60" i="83" s="1"/>
  <c r="T59" i="83"/>
  <c r="B59" i="83" s="1"/>
  <c r="J59" i="83"/>
  <c r="T58" i="83"/>
  <c r="B58" i="83"/>
  <c r="J58" i="83" s="1"/>
  <c r="T57" i="83"/>
  <c r="B57" i="83"/>
  <c r="J57" i="83" s="1"/>
  <c r="J56" i="83"/>
  <c r="J45" i="83"/>
  <c r="J44" i="83"/>
  <c r="J43" i="83"/>
  <c r="J42" i="83"/>
  <c r="J41" i="83"/>
  <c r="J40" i="83"/>
  <c r="J39" i="83"/>
  <c r="J38" i="83"/>
  <c r="J37" i="83"/>
  <c r="J36" i="83"/>
  <c r="B35" i="83"/>
  <c r="J35" i="83" s="1"/>
  <c r="B34" i="83"/>
  <c r="J34" i="83" s="1"/>
  <c r="B33" i="83"/>
  <c r="J33" i="83" s="1"/>
  <c r="J32" i="83"/>
  <c r="J31" i="83"/>
  <c r="J30" i="83"/>
  <c r="S19" i="83"/>
  <c r="B19" i="83" s="1"/>
  <c r="J19" i="83" s="1"/>
  <c r="S18" i="83"/>
  <c r="B18" i="83" s="1"/>
  <c r="J18" i="83" s="1"/>
  <c r="S17" i="83"/>
  <c r="B17" i="83"/>
  <c r="J17" i="83" s="1"/>
  <c r="S16" i="83"/>
  <c r="B16" i="83"/>
  <c r="J16" i="83" s="1"/>
  <c r="S15" i="83"/>
  <c r="B15" i="83" s="1"/>
  <c r="J15" i="83" s="1"/>
  <c r="S14" i="83"/>
  <c r="B14" i="83" s="1"/>
  <c r="J14" i="83" s="1"/>
  <c r="S13" i="83"/>
  <c r="J13" i="83"/>
  <c r="B13" i="83"/>
  <c r="J12" i="83"/>
  <c r="T50" i="82"/>
  <c r="B50" i="82"/>
  <c r="J50" i="82" s="1"/>
  <c r="T49" i="82"/>
  <c r="B49" i="82"/>
  <c r="J49" i="82" s="1"/>
  <c r="T48" i="82"/>
  <c r="B48" i="82" s="1"/>
  <c r="J48" i="82" s="1"/>
  <c r="T47" i="82"/>
  <c r="J47" i="82"/>
  <c r="B47" i="82"/>
  <c r="T46" i="82"/>
  <c r="B46" i="82"/>
  <c r="J46" i="82" s="1"/>
  <c r="T45" i="82"/>
  <c r="B45" i="82" s="1"/>
  <c r="J45" i="82" s="1"/>
  <c r="T44" i="82"/>
  <c r="B44" i="82" s="1"/>
  <c r="J44" i="82" s="1"/>
  <c r="T43" i="82"/>
  <c r="B43" i="82" s="1"/>
  <c r="J43" i="82" s="1"/>
  <c r="T42" i="82"/>
  <c r="B42" i="82"/>
  <c r="J42" i="82" s="1"/>
  <c r="T41" i="82"/>
  <c r="B41" i="82"/>
  <c r="J41" i="82" s="1"/>
  <c r="T40" i="82"/>
  <c r="B40" i="82" s="1"/>
  <c r="J40" i="82" s="1"/>
  <c r="T39" i="82"/>
  <c r="B39" i="82" s="1"/>
  <c r="J39" i="82" s="1"/>
  <c r="J38" i="82"/>
  <c r="J27" i="82"/>
  <c r="J26" i="82"/>
  <c r="J25" i="82"/>
  <c r="J24" i="82"/>
  <c r="J23" i="82"/>
  <c r="J22" i="82"/>
  <c r="J21" i="82"/>
  <c r="J20" i="82"/>
  <c r="J19" i="82"/>
  <c r="J18" i="82"/>
  <c r="B17" i="82"/>
  <c r="J17" i="82" s="1"/>
  <c r="B16" i="82"/>
  <c r="J16" i="82" s="1"/>
  <c r="B15" i="82"/>
  <c r="J15" i="82" s="1"/>
  <c r="J14" i="82"/>
  <c r="J13" i="82"/>
  <c r="J12" i="82"/>
  <c r="I17" i="80"/>
  <c r="I16" i="80"/>
  <c r="I15" i="80"/>
  <c r="O14" i="80"/>
  <c r="I14" i="80"/>
  <c r="I13" i="80"/>
  <c r="J109" i="79"/>
  <c r="B108" i="79"/>
  <c r="J108" i="79" s="1"/>
  <c r="J107" i="79"/>
  <c r="J106" i="79"/>
  <c r="J105" i="79"/>
  <c r="J104" i="79"/>
  <c r="J103" i="79"/>
  <c r="J102" i="79"/>
  <c r="J101" i="79"/>
  <c r="J100" i="79"/>
  <c r="J99" i="79"/>
  <c r="J98" i="79"/>
  <c r="J97" i="79"/>
  <c r="J96" i="79"/>
  <c r="J95" i="79"/>
  <c r="J94" i="79"/>
  <c r="J93" i="79"/>
  <c r="J92" i="79"/>
  <c r="B91" i="79"/>
  <c r="J91" i="79" s="1"/>
  <c r="B86" i="79"/>
  <c r="J80" i="79"/>
  <c r="J79" i="79"/>
  <c r="J78" i="79"/>
  <c r="J77" i="79"/>
  <c r="J76" i="79"/>
  <c r="J75" i="79"/>
  <c r="B69" i="79"/>
  <c r="B74" i="79" s="1"/>
  <c r="J74" i="79" s="1"/>
  <c r="J63" i="79"/>
  <c r="K62" i="79"/>
  <c r="B62" i="79"/>
  <c r="J62" i="79" s="1"/>
  <c r="J61" i="79"/>
  <c r="K60" i="79"/>
  <c r="B60" i="79"/>
  <c r="J60" i="79" s="1"/>
  <c r="J59" i="79"/>
  <c r="K58" i="79"/>
  <c r="B58" i="79"/>
  <c r="J58" i="79" s="1"/>
  <c r="J57" i="79"/>
  <c r="K56" i="79"/>
  <c r="B56" i="79"/>
  <c r="J56" i="79" s="1"/>
  <c r="J55" i="79"/>
  <c r="K54" i="79"/>
  <c r="J54" i="79"/>
  <c r="B54" i="79"/>
  <c r="J53" i="79"/>
  <c r="K52" i="79"/>
  <c r="B52" i="79"/>
  <c r="J52" i="79" s="1"/>
  <c r="J51" i="79"/>
  <c r="J50" i="79"/>
  <c r="J49" i="79"/>
  <c r="J48" i="79"/>
  <c r="J47" i="79"/>
  <c r="J46" i="79"/>
  <c r="J45" i="79"/>
  <c r="J44" i="79"/>
  <c r="J43" i="79"/>
  <c r="J42" i="79"/>
  <c r="J41" i="79"/>
  <c r="J40" i="79"/>
  <c r="J39" i="79"/>
  <c r="J38" i="79"/>
  <c r="B38" i="79"/>
  <c r="B33" i="79"/>
  <c r="J27" i="79"/>
  <c r="J26" i="79"/>
  <c r="J25" i="79"/>
  <c r="J24" i="79"/>
  <c r="I45" i="78"/>
  <c r="I44" i="78"/>
  <c r="F43" i="78"/>
  <c r="C43" i="78"/>
  <c r="B43" i="78"/>
  <c r="I43" i="78" s="1"/>
  <c r="A43" i="78"/>
  <c r="I32" i="78"/>
  <c r="B32" i="78"/>
  <c r="M32" i="78" s="1"/>
  <c r="M31" i="78"/>
  <c r="L31" i="78"/>
  <c r="I31" i="78"/>
  <c r="M30" i="78"/>
  <c r="L30" i="78"/>
  <c r="I30" i="78"/>
  <c r="B29" i="78"/>
  <c r="M28" i="78"/>
  <c r="L28" i="78"/>
  <c r="I28" i="78"/>
  <c r="L27" i="78"/>
  <c r="B27" i="78"/>
  <c r="M27" i="78" s="1"/>
  <c r="M26" i="78"/>
  <c r="L26" i="78"/>
  <c r="I26" i="78"/>
  <c r="F25" i="78"/>
  <c r="C25" i="78"/>
  <c r="B25" i="78"/>
  <c r="I25" i="78" s="1"/>
  <c r="A25" i="78"/>
  <c r="B14" i="78"/>
  <c r="I14" i="78" s="1"/>
  <c r="I13" i="78"/>
  <c r="B13" i="78"/>
  <c r="F12" i="78"/>
  <c r="C12" i="78"/>
  <c r="B12" i="78"/>
  <c r="I12" i="78" s="1"/>
  <c r="A12" i="78"/>
  <c r="O1" i="78"/>
  <c r="R457" i="77"/>
  <c r="B457" i="77" s="1"/>
  <c r="R456" i="77"/>
  <c r="B456" i="77" s="1"/>
  <c r="I456" i="77" s="1"/>
  <c r="A455" i="77"/>
  <c r="B445" i="77" s="1"/>
  <c r="B452" i="77"/>
  <c r="B450" i="77"/>
  <c r="R444" i="77"/>
  <c r="B444" i="77" s="1"/>
  <c r="I444" i="77"/>
  <c r="R443" i="77"/>
  <c r="L443" i="77"/>
  <c r="B443" i="77"/>
  <c r="M443" i="77" s="1"/>
  <c r="A442" i="77"/>
  <c r="B432" i="77" s="1"/>
  <c r="B439" i="77"/>
  <c r="B437" i="77"/>
  <c r="I431" i="77"/>
  <c r="A430" i="77"/>
  <c r="B427" i="77"/>
  <c r="B425" i="77"/>
  <c r="B420" i="77"/>
  <c r="R419" i="77"/>
  <c r="B419" i="77" s="1"/>
  <c r="R418" i="77"/>
  <c r="B418" i="77" s="1"/>
  <c r="M418" i="77" s="1"/>
  <c r="L418" i="77"/>
  <c r="I418" i="77"/>
  <c r="A417" i="77"/>
  <c r="B414" i="77"/>
  <c r="B407" i="77"/>
  <c r="R406" i="77"/>
  <c r="B406" i="77"/>
  <c r="I406" i="77" s="1"/>
  <c r="R405" i="77"/>
  <c r="B405" i="77" s="1"/>
  <c r="A404" i="77"/>
  <c r="B394" i="77"/>
  <c r="R393" i="77"/>
  <c r="B393" i="77" s="1"/>
  <c r="O393" i="77"/>
  <c r="O392" i="77"/>
  <c r="R392" i="77" s="1"/>
  <c r="B392" i="77" s="1"/>
  <c r="I392" i="77" s="1"/>
  <c r="A391" i="77"/>
  <c r="B388" i="77"/>
  <c r="B386" i="77"/>
  <c r="B381" i="77"/>
  <c r="R380" i="77"/>
  <c r="B380" i="77" s="1"/>
  <c r="O380" i="77"/>
  <c r="R379" i="77"/>
  <c r="O379" i="77"/>
  <c r="B379" i="77"/>
  <c r="M379" i="77" s="1"/>
  <c r="O378" i="77"/>
  <c r="R378" i="77" s="1"/>
  <c r="B378" i="77" s="1"/>
  <c r="R377" i="77"/>
  <c r="B377" i="77" s="1"/>
  <c r="M377" i="77" s="1"/>
  <c r="A376" i="77"/>
  <c r="B366" i="77" s="1"/>
  <c r="B373" i="77"/>
  <c r="B371" i="77"/>
  <c r="O365" i="77"/>
  <c r="R365" i="77" s="1"/>
  <c r="B365" i="77" s="1"/>
  <c r="M365" i="77"/>
  <c r="R364" i="77"/>
  <c r="B364" i="77" s="1"/>
  <c r="M364" i="77" s="1"/>
  <c r="O364" i="77"/>
  <c r="R363" i="77"/>
  <c r="O363" i="77"/>
  <c r="B363" i="77"/>
  <c r="R362" i="77"/>
  <c r="B362" i="77" s="1"/>
  <c r="O362" i="77"/>
  <c r="A361" i="77"/>
  <c r="B351" i="77" s="1"/>
  <c r="B358" i="77"/>
  <c r="B356" i="77"/>
  <c r="R350" i="77"/>
  <c r="B350" i="77"/>
  <c r="I350" i="77" s="1"/>
  <c r="R349" i="77"/>
  <c r="B349" i="77"/>
  <c r="I349" i="77" s="1"/>
  <c r="A348" i="77"/>
  <c r="B338" i="77" s="1"/>
  <c r="B345" i="77"/>
  <c r="B343" i="77"/>
  <c r="R337" i="77"/>
  <c r="O337" i="77"/>
  <c r="R336" i="77"/>
  <c r="O336" i="77"/>
  <c r="I336" i="77"/>
  <c r="Z335" i="77"/>
  <c r="Q335" i="77" s="1"/>
  <c r="O335" i="77"/>
  <c r="I335" i="77"/>
  <c r="R334" i="77"/>
  <c r="O334" i="77"/>
  <c r="A333" i="77"/>
  <c r="B330" i="77"/>
  <c r="B328" i="77"/>
  <c r="B323" i="77"/>
  <c r="R322" i="77"/>
  <c r="B322" i="77" s="1"/>
  <c r="L322" i="77"/>
  <c r="A321" i="77"/>
  <c r="B318" i="77"/>
  <c r="B316" i="77"/>
  <c r="B311" i="77"/>
  <c r="R310" i="77"/>
  <c r="L310" i="77"/>
  <c r="I310" i="77"/>
  <c r="B310" i="77"/>
  <c r="M310" i="77" s="1"/>
  <c r="R309" i="77"/>
  <c r="B309" i="77" s="1"/>
  <c r="I309" i="77" s="1"/>
  <c r="L309" i="77"/>
  <c r="R308" i="77"/>
  <c r="L308" i="77"/>
  <c r="B308" i="77"/>
  <c r="R307" i="77"/>
  <c r="B307" i="77" s="1"/>
  <c r="L307" i="77"/>
  <c r="A306" i="77"/>
  <c r="B303" i="77"/>
  <c r="B301" i="77"/>
  <c r="B296" i="77"/>
  <c r="R295" i="77"/>
  <c r="B295" i="77" s="1"/>
  <c r="I295" i="77" s="1"/>
  <c r="R294" i="77"/>
  <c r="B294" i="77"/>
  <c r="I294" i="77" s="1"/>
  <c r="R293" i="77"/>
  <c r="B293" i="77" s="1"/>
  <c r="I293" i="77" s="1"/>
  <c r="O293" i="77"/>
  <c r="O292" i="77"/>
  <c r="R292" i="77" s="1"/>
  <c r="B292" i="77" s="1"/>
  <c r="I292" i="77" s="1"/>
  <c r="R291" i="77"/>
  <c r="B291" i="77" s="1"/>
  <c r="M291" i="77"/>
  <c r="A290" i="77"/>
  <c r="B287" i="77"/>
  <c r="B285" i="77"/>
  <c r="B280" i="77"/>
  <c r="R279" i="77"/>
  <c r="B279" i="77" s="1"/>
  <c r="I279" i="77" s="1"/>
  <c r="A278" i="77"/>
  <c r="B275" i="77"/>
  <c r="B273" i="77"/>
  <c r="B268" i="77"/>
  <c r="Y267" i="77"/>
  <c r="Q267" i="77" s="1"/>
  <c r="R267" i="77" s="1"/>
  <c r="B267" i="77" s="1"/>
  <c r="Y266" i="77"/>
  <c r="R266" i="77"/>
  <c r="B266" i="77" s="1"/>
  <c r="Q266" i="77"/>
  <c r="Y265" i="77"/>
  <c r="Q265" i="77"/>
  <c r="R265" i="77" s="1"/>
  <c r="B265" i="77" s="1"/>
  <c r="M265" i="77"/>
  <c r="A264" i="77"/>
  <c r="B261" i="77"/>
  <c r="B259" i="77"/>
  <c r="B254" i="77"/>
  <c r="R253" i="77"/>
  <c r="B253" i="77" s="1"/>
  <c r="I253" i="77" s="1"/>
  <c r="R252" i="77"/>
  <c r="B252" i="77"/>
  <c r="A251" i="77"/>
  <c r="B241" i="77" s="1"/>
  <c r="B248" i="77"/>
  <c r="B246" i="77"/>
  <c r="R240" i="77"/>
  <c r="B240" i="77" s="1"/>
  <c r="I240" i="77" s="1"/>
  <c r="Y239" i="77"/>
  <c r="Q239" i="77" s="1"/>
  <c r="R239" i="77" s="1"/>
  <c r="B239" i="77" s="1"/>
  <c r="L239" i="77"/>
  <c r="Y238" i="77"/>
  <c r="R238" i="77"/>
  <c r="B238" i="77" s="1"/>
  <c r="Q238" i="77"/>
  <c r="O238" i="77"/>
  <c r="Y237" i="77"/>
  <c r="R237" i="77"/>
  <c r="B237" i="77" s="1"/>
  <c r="Q237" i="77"/>
  <c r="Y236" i="77"/>
  <c r="Q236" i="77"/>
  <c r="R236" i="77" s="1"/>
  <c r="B236" i="77" s="1"/>
  <c r="M236" i="77"/>
  <c r="A235" i="77"/>
  <c r="B232" i="77"/>
  <c r="B230" i="77"/>
  <c r="B225" i="77"/>
  <c r="R224" i="77"/>
  <c r="B224" i="77" s="1"/>
  <c r="Q224" i="77"/>
  <c r="A223" i="77"/>
  <c r="B213" i="77" s="1"/>
  <c r="B220" i="77"/>
  <c r="B218" i="77"/>
  <c r="R212" i="77"/>
  <c r="O212" i="77"/>
  <c r="I212" i="77"/>
  <c r="B212" i="77"/>
  <c r="O211" i="77"/>
  <c r="R211" i="77" s="1"/>
  <c r="B211" i="77" s="1"/>
  <c r="I211" i="77" s="1"/>
  <c r="R210" i="77"/>
  <c r="I210" i="77"/>
  <c r="B210" i="77"/>
  <c r="A209" i="77"/>
  <c r="B199" i="77" s="1"/>
  <c r="B206" i="77"/>
  <c r="B204" i="77"/>
  <c r="I198" i="77"/>
  <c r="I197" i="77"/>
  <c r="I196" i="77"/>
  <c r="I195" i="77"/>
  <c r="I194" i="77"/>
  <c r="I193" i="77"/>
  <c r="I192" i="77"/>
  <c r="I191" i="77"/>
  <c r="I190" i="77"/>
  <c r="I189" i="77"/>
  <c r="I188" i="77"/>
  <c r="D188" i="77"/>
  <c r="A187" i="77"/>
  <c r="A212" i="77" s="1"/>
  <c r="B184" i="77"/>
  <c r="B182" i="77"/>
  <c r="W176" i="77"/>
  <c r="O176" i="77"/>
  <c r="R176" i="77" s="1"/>
  <c r="B176" i="77" s="1"/>
  <c r="M176" i="77" s="1"/>
  <c r="L176" i="77"/>
  <c r="I176" i="77"/>
  <c r="F176" i="77"/>
  <c r="E176" i="77"/>
  <c r="W175" i="77"/>
  <c r="R175" i="77"/>
  <c r="L175" i="77"/>
  <c r="I175" i="77"/>
  <c r="F175" i="77"/>
  <c r="E175" i="77"/>
  <c r="D175" i="77"/>
  <c r="C175" i="77"/>
  <c r="B175" i="77"/>
  <c r="M175" i="77" s="1"/>
  <c r="A174" i="77"/>
  <c r="B171" i="77"/>
  <c r="B169" i="77"/>
  <c r="B164" i="77"/>
  <c r="Q163" i="77"/>
  <c r="R163" i="77" s="1"/>
  <c r="B163" i="77" s="1"/>
  <c r="W162" i="77"/>
  <c r="M162" i="77"/>
  <c r="L162" i="77"/>
  <c r="I162" i="77"/>
  <c r="W161" i="77"/>
  <c r="O161" i="77"/>
  <c r="M161" i="77"/>
  <c r="I161" i="77"/>
  <c r="F161" i="77"/>
  <c r="E161" i="77"/>
  <c r="D161" i="77"/>
  <c r="C161" i="77"/>
  <c r="W160" i="77"/>
  <c r="M160" i="77"/>
  <c r="I160" i="77"/>
  <c r="F160" i="77"/>
  <c r="E160" i="77"/>
  <c r="D160" i="77"/>
  <c r="C160" i="77"/>
  <c r="W159" i="77"/>
  <c r="M159" i="77"/>
  <c r="L159" i="77"/>
  <c r="I159" i="77"/>
  <c r="A158" i="77"/>
  <c r="B148" i="77" s="1"/>
  <c r="B155" i="77"/>
  <c r="B153" i="77"/>
  <c r="I147" i="77"/>
  <c r="I146" i="77"/>
  <c r="I145" i="77"/>
  <c r="I144" i="77"/>
  <c r="I143" i="77"/>
  <c r="I142" i="77"/>
  <c r="I141" i="77"/>
  <c r="I140" i="77"/>
  <c r="I139" i="77"/>
  <c r="I138" i="77"/>
  <c r="I137" i="77"/>
  <c r="I136" i="77"/>
  <c r="I135" i="77"/>
  <c r="A134" i="77"/>
  <c r="A161" i="77" s="1"/>
  <c r="B131" i="77"/>
  <c r="B129" i="77"/>
  <c r="B124" i="77"/>
  <c r="I123" i="77"/>
  <c r="I122" i="77"/>
  <c r="I121" i="77"/>
  <c r="R120" i="77"/>
  <c r="I120" i="77"/>
  <c r="B120" i="77"/>
  <c r="I119" i="77"/>
  <c r="I118" i="77"/>
  <c r="I117" i="77"/>
  <c r="I116" i="77"/>
  <c r="I115" i="77"/>
  <c r="I114" i="77"/>
  <c r="I113" i="77"/>
  <c r="I112" i="77"/>
  <c r="I111" i="77"/>
  <c r="I110" i="77"/>
  <c r="I109" i="77"/>
  <c r="A108" i="77"/>
  <c r="A160" i="77" s="1"/>
  <c r="B103" i="77"/>
  <c r="Y97" i="77"/>
  <c r="Y96" i="77"/>
  <c r="Q96" i="77" s="1"/>
  <c r="R96" i="77" s="1"/>
  <c r="B96" i="77"/>
  <c r="I96" i="77" s="1"/>
  <c r="Y95" i="77"/>
  <c r="Q95" i="77" s="1"/>
  <c r="R95" i="77" s="1"/>
  <c r="B95" i="77" s="1"/>
  <c r="L95" i="77" s="1"/>
  <c r="Y94" i="77"/>
  <c r="Q94" i="77" s="1"/>
  <c r="R94" i="77" s="1"/>
  <c r="L94" i="77"/>
  <c r="B94" i="77"/>
  <c r="M94" i="77" s="1"/>
  <c r="Y93" i="77"/>
  <c r="R93" i="77"/>
  <c r="Q93" i="77"/>
  <c r="O93" i="77"/>
  <c r="L93" i="77"/>
  <c r="B93" i="77"/>
  <c r="M93" i="77" s="1"/>
  <c r="Y92" i="77"/>
  <c r="R92" i="77"/>
  <c r="B92" i="77" s="1"/>
  <c r="Q92" i="77"/>
  <c r="O92" i="77"/>
  <c r="L92" i="77"/>
  <c r="Y91" i="77"/>
  <c r="Q91" i="77" s="1"/>
  <c r="R91" i="77"/>
  <c r="B91" i="77" s="1"/>
  <c r="O91" i="77"/>
  <c r="L91" i="77"/>
  <c r="A90" i="77"/>
  <c r="B87" i="77"/>
  <c r="B85" i="77"/>
  <c r="B80" i="77"/>
  <c r="R79" i="77"/>
  <c r="L79" i="77"/>
  <c r="I79" i="77"/>
  <c r="B79" i="77"/>
  <c r="M79" i="77" s="1"/>
  <c r="R78" i="77"/>
  <c r="B78" i="77" s="1"/>
  <c r="I78" i="77" s="1"/>
  <c r="R77" i="77"/>
  <c r="B77" i="77" s="1"/>
  <c r="I77" i="77"/>
  <c r="R76" i="77"/>
  <c r="I76" i="77"/>
  <c r="B76" i="77"/>
  <c r="R75" i="77"/>
  <c r="B75" i="77" s="1"/>
  <c r="I75" i="77" s="1"/>
  <c r="A74" i="77"/>
  <c r="B64" i="77"/>
  <c r="R63" i="77"/>
  <c r="B63" i="77" s="1"/>
  <c r="R62" i="77"/>
  <c r="I62" i="77"/>
  <c r="B62" i="77"/>
  <c r="R61" i="77"/>
  <c r="B61" i="77"/>
  <c r="R60" i="77"/>
  <c r="L60" i="77"/>
  <c r="I60" i="77"/>
  <c r="B60" i="77"/>
  <c r="M60" i="77" s="1"/>
  <c r="R59" i="77"/>
  <c r="B59" i="77"/>
  <c r="R58" i="77"/>
  <c r="L58" i="77"/>
  <c r="I58" i="77"/>
  <c r="B58" i="77"/>
  <c r="M58" i="77" s="1"/>
  <c r="R57" i="77"/>
  <c r="B57" i="77"/>
  <c r="I57" i="77" s="1"/>
  <c r="R56" i="77"/>
  <c r="B56" i="77"/>
  <c r="R55" i="77"/>
  <c r="B55" i="77" s="1"/>
  <c r="L55" i="77" s="1"/>
  <c r="R54" i="77"/>
  <c r="I54" i="77"/>
  <c r="B54" i="77"/>
  <c r="R53" i="77"/>
  <c r="B53" i="77" s="1"/>
  <c r="I53" i="77" s="1"/>
  <c r="R52" i="77"/>
  <c r="B52" i="77" s="1"/>
  <c r="L52" i="77" s="1"/>
  <c r="T51" i="77"/>
  <c r="R51" i="77"/>
  <c r="B51" i="77" s="1"/>
  <c r="I51" i="77"/>
  <c r="A50" i="77"/>
  <c r="B47" i="77"/>
  <c r="R39" i="77"/>
  <c r="I39" i="77"/>
  <c r="B39" i="77"/>
  <c r="R38" i="77"/>
  <c r="M38" i="77"/>
  <c r="I38" i="77"/>
  <c r="B38" i="77"/>
  <c r="L38" i="77" s="1"/>
  <c r="Q37" i="77"/>
  <c r="R36" i="77"/>
  <c r="B36" i="77"/>
  <c r="R35" i="77"/>
  <c r="L35" i="77"/>
  <c r="I35" i="77"/>
  <c r="B35" i="77"/>
  <c r="M35" i="77" s="1"/>
  <c r="R34" i="77"/>
  <c r="B34" i="77"/>
  <c r="I34" i="77" s="1"/>
  <c r="R33" i="77"/>
  <c r="B33" i="77"/>
  <c r="R32" i="77"/>
  <c r="B32" i="77" s="1"/>
  <c r="L32" i="77" s="1"/>
  <c r="R31" i="77"/>
  <c r="B31" i="77" s="1"/>
  <c r="M31" i="77" s="1"/>
  <c r="R30" i="77"/>
  <c r="B30" i="77" s="1"/>
  <c r="R29" i="77"/>
  <c r="B29" i="77" s="1"/>
  <c r="L29" i="77" s="1"/>
  <c r="M29" i="77"/>
  <c r="R28" i="77"/>
  <c r="I28" i="77"/>
  <c r="B28" i="77"/>
  <c r="R27" i="77"/>
  <c r="B27" i="77" s="1"/>
  <c r="M27" i="77"/>
  <c r="R26" i="77"/>
  <c r="M26" i="77"/>
  <c r="L26" i="77"/>
  <c r="B26" i="77"/>
  <c r="I26" i="77" s="1"/>
  <c r="R25" i="77"/>
  <c r="B25" i="77"/>
  <c r="I25" i="77" s="1"/>
  <c r="A24" i="77"/>
  <c r="D13" i="77"/>
  <c r="A13" i="77"/>
  <c r="A12" i="77"/>
  <c r="B9" i="77"/>
  <c r="B7" i="77"/>
  <c r="A123" i="76"/>
  <c r="A121" i="76"/>
  <c r="B110" i="76"/>
  <c r="B109" i="76"/>
  <c r="B108" i="76"/>
  <c r="J107" i="76"/>
  <c r="N106" i="76"/>
  <c r="J106" i="76"/>
  <c r="M106" i="76" s="1"/>
  <c r="B106" i="76"/>
  <c r="B105" i="76"/>
  <c r="J105" i="76" s="1"/>
  <c r="A104" i="76"/>
  <c r="A124" i="76" s="1"/>
  <c r="N93" i="76"/>
  <c r="M93" i="76"/>
  <c r="J93" i="76"/>
  <c r="N92" i="76"/>
  <c r="J92" i="76"/>
  <c r="M92" i="76" s="1"/>
  <c r="A91" i="76"/>
  <c r="N76" i="76"/>
  <c r="M76" i="76"/>
  <c r="J76" i="76"/>
  <c r="M75" i="76"/>
  <c r="J75" i="76"/>
  <c r="N75" i="76" s="1"/>
  <c r="N74" i="76"/>
  <c r="M74" i="76"/>
  <c r="J74" i="76"/>
  <c r="J73" i="76"/>
  <c r="N73" i="76" s="1"/>
  <c r="N72" i="76"/>
  <c r="M72" i="76"/>
  <c r="J72" i="76"/>
  <c r="A71" i="76"/>
  <c r="A122" i="76" s="1"/>
  <c r="B59" i="76"/>
  <c r="B60" i="76" s="1"/>
  <c r="B58" i="76"/>
  <c r="A57" i="76"/>
  <c r="J44" i="76"/>
  <c r="B44" i="76"/>
  <c r="J43" i="76"/>
  <c r="B43" i="76"/>
  <c r="B45" i="76" s="1"/>
  <c r="J45" i="76" s="1"/>
  <c r="N42" i="76"/>
  <c r="M42" i="76"/>
  <c r="J42" i="76"/>
  <c r="B42" i="76"/>
  <c r="J41" i="76"/>
  <c r="N41" i="76" s="1"/>
  <c r="B41" i="76"/>
  <c r="J40" i="76"/>
  <c r="A39" i="76"/>
  <c r="A79" i="76" s="1"/>
  <c r="B28" i="76"/>
  <c r="B27" i="76"/>
  <c r="J27" i="76" s="1"/>
  <c r="J26" i="76"/>
  <c r="J25" i="76"/>
  <c r="A24" i="76"/>
  <c r="A78" i="76" s="1"/>
  <c r="B13" i="76"/>
  <c r="J12" i="76"/>
  <c r="A12" i="76"/>
  <c r="A77" i="76" s="1"/>
  <c r="A246" i="75"/>
  <c r="B238" i="75"/>
  <c r="J235" i="75"/>
  <c r="B226" i="75"/>
  <c r="J223" i="75"/>
  <c r="J222" i="75"/>
  <c r="J221" i="75"/>
  <c r="B212" i="75"/>
  <c r="B209" i="75"/>
  <c r="J209" i="75" s="1"/>
  <c r="B200" i="75"/>
  <c r="B186" i="75"/>
  <c r="J183" i="75"/>
  <c r="B183" i="75"/>
  <c r="B182" i="75"/>
  <c r="J182" i="75" s="1"/>
  <c r="B181" i="75"/>
  <c r="J181" i="75" s="1"/>
  <c r="B180" i="75"/>
  <c r="J180" i="75" s="1"/>
  <c r="B171" i="75"/>
  <c r="B168" i="75"/>
  <c r="B167" i="75"/>
  <c r="B166" i="75"/>
  <c r="B165" i="75"/>
  <c r="B151" i="75"/>
  <c r="B148" i="75"/>
  <c r="J148" i="75" s="1"/>
  <c r="J147" i="75"/>
  <c r="B147" i="75"/>
  <c r="B146" i="75"/>
  <c r="J146" i="75" s="1"/>
  <c r="B145" i="75"/>
  <c r="J145" i="75" s="1"/>
  <c r="B144" i="75"/>
  <c r="J144" i="75" s="1"/>
  <c r="B135" i="75"/>
  <c r="B132" i="75"/>
  <c r="J132" i="75" s="1"/>
  <c r="B131" i="75"/>
  <c r="J131" i="75" s="1"/>
  <c r="B122" i="75"/>
  <c r="B119" i="75"/>
  <c r="J119" i="75" s="1"/>
  <c r="E118" i="75"/>
  <c r="D118" i="75"/>
  <c r="B118" i="75"/>
  <c r="J118" i="75" s="1"/>
  <c r="A118" i="75"/>
  <c r="B109" i="75"/>
  <c r="B106" i="75"/>
  <c r="J106" i="75" s="1"/>
  <c r="J105" i="75"/>
  <c r="B105" i="75"/>
  <c r="B104" i="75"/>
  <c r="J104" i="75" s="1"/>
  <c r="B103" i="75"/>
  <c r="J103" i="75" s="1"/>
  <c r="B102" i="75"/>
  <c r="J102" i="75" s="1"/>
  <c r="A101" i="75"/>
  <c r="B93" i="75"/>
  <c r="B90" i="75"/>
  <c r="B89" i="75"/>
  <c r="J89" i="75" s="1"/>
  <c r="J88" i="75"/>
  <c r="B88" i="75"/>
  <c r="G87" i="75"/>
  <c r="F87" i="75"/>
  <c r="E87" i="75"/>
  <c r="D87" i="75"/>
  <c r="B87" i="75"/>
  <c r="J87" i="75" s="1"/>
  <c r="A87" i="75"/>
  <c r="B86" i="75"/>
  <c r="J86" i="75" s="1"/>
  <c r="J85" i="75"/>
  <c r="B85" i="75"/>
  <c r="B76" i="75"/>
  <c r="N73" i="75"/>
  <c r="M73" i="75"/>
  <c r="L73" i="75"/>
  <c r="K73" i="75"/>
  <c r="J73" i="75"/>
  <c r="I73" i="75"/>
  <c r="G73" i="75"/>
  <c r="F73" i="75"/>
  <c r="E73" i="75"/>
  <c r="D73" i="75"/>
  <c r="B73" i="75"/>
  <c r="A72" i="75"/>
  <c r="B64" i="75"/>
  <c r="J61" i="75"/>
  <c r="B61" i="75"/>
  <c r="B60" i="75"/>
  <c r="J60" i="75" s="1"/>
  <c r="J59" i="75"/>
  <c r="B59" i="75"/>
  <c r="B58" i="75"/>
  <c r="J58" i="75" s="1"/>
  <c r="J57" i="75"/>
  <c r="B57" i="75"/>
  <c r="B56" i="75"/>
  <c r="J56" i="75" s="1"/>
  <c r="J55" i="75"/>
  <c r="B55" i="75"/>
  <c r="A54" i="75"/>
  <c r="A73" i="75" s="1"/>
  <c r="B46" i="75"/>
  <c r="J43" i="75"/>
  <c r="B43" i="75"/>
  <c r="A43" i="75"/>
  <c r="B34" i="75"/>
  <c r="J31" i="75"/>
  <c r="B28" i="75"/>
  <c r="J27" i="75"/>
  <c r="J26" i="75"/>
  <c r="J25" i="75"/>
  <c r="J24" i="75"/>
  <c r="J23" i="75"/>
  <c r="J22" i="75"/>
  <c r="J21" i="75"/>
  <c r="B20" i="75"/>
  <c r="J20" i="75" s="1"/>
  <c r="J19" i="75"/>
  <c r="B19" i="75"/>
  <c r="B18" i="75"/>
  <c r="J18" i="75" s="1"/>
  <c r="B17" i="75"/>
  <c r="J17" i="75" s="1"/>
  <c r="J16" i="75"/>
  <c r="J15" i="75"/>
  <c r="J14" i="75"/>
  <c r="J13" i="75"/>
  <c r="A12" i="75"/>
  <c r="B4" i="75"/>
  <c r="B33" i="74"/>
  <c r="J129" i="73"/>
  <c r="J128" i="73"/>
  <c r="J127" i="73"/>
  <c r="J126" i="73"/>
  <c r="J125" i="73"/>
  <c r="J124" i="73"/>
  <c r="B123" i="73"/>
  <c r="J123" i="73" s="1"/>
  <c r="U122" i="73"/>
  <c r="W122" i="73" s="1"/>
  <c r="B122" i="73" s="1"/>
  <c r="J122" i="73" s="1"/>
  <c r="U121" i="73"/>
  <c r="W121" i="73" s="1"/>
  <c r="B121" i="73" s="1"/>
  <c r="J121" i="73" s="1"/>
  <c r="U120" i="73"/>
  <c r="W120" i="73" s="1"/>
  <c r="B120" i="73" s="1"/>
  <c r="J120" i="73" s="1"/>
  <c r="U119" i="73"/>
  <c r="B119" i="73" s="1"/>
  <c r="J119" i="73" s="1"/>
  <c r="U118" i="73"/>
  <c r="W118" i="73" s="1"/>
  <c r="B118" i="73" s="1"/>
  <c r="J118" i="73" s="1"/>
  <c r="B117" i="73"/>
  <c r="J117" i="73" s="1"/>
  <c r="B112" i="73"/>
  <c r="B114" i="73" s="1"/>
  <c r="J114" i="73" s="1"/>
  <c r="B111" i="73"/>
  <c r="J111" i="73" s="1"/>
  <c r="A110" i="73"/>
  <c r="J99" i="73"/>
  <c r="J98" i="73"/>
  <c r="J97" i="73"/>
  <c r="J96" i="73"/>
  <c r="J95" i="73"/>
  <c r="J94" i="73"/>
  <c r="J93" i="73"/>
  <c r="B93" i="73"/>
  <c r="U92" i="73"/>
  <c r="W92" i="73" s="1"/>
  <c r="B92" i="73" s="1"/>
  <c r="J92" i="73" s="1"/>
  <c r="U91" i="73"/>
  <c r="W91" i="73" s="1"/>
  <c r="B91" i="73" s="1"/>
  <c r="J91" i="73" s="1"/>
  <c r="U90" i="73"/>
  <c r="W90" i="73" s="1"/>
  <c r="B90" i="73" s="1"/>
  <c r="J90" i="73" s="1"/>
  <c r="U89" i="73"/>
  <c r="B89" i="73"/>
  <c r="J89" i="73" s="1"/>
  <c r="U88" i="73"/>
  <c r="W88" i="73" s="1"/>
  <c r="B88" i="73" s="1"/>
  <c r="J88" i="73" s="1"/>
  <c r="B87" i="73"/>
  <c r="J87" i="73" s="1"/>
  <c r="B86" i="73"/>
  <c r="J86" i="73" s="1"/>
  <c r="B80" i="73"/>
  <c r="B84" i="73" s="1"/>
  <c r="J84" i="73" s="1"/>
  <c r="B79" i="73"/>
  <c r="J79" i="73" s="1"/>
  <c r="B78" i="73"/>
  <c r="B81" i="73" s="1"/>
  <c r="J81" i="73" s="1"/>
  <c r="A77" i="73"/>
  <c r="J66" i="73"/>
  <c r="J65" i="73"/>
  <c r="J64" i="73"/>
  <c r="J63" i="73"/>
  <c r="J62" i="73"/>
  <c r="J61" i="73"/>
  <c r="B60" i="73"/>
  <c r="J60" i="73" s="1"/>
  <c r="U59" i="73"/>
  <c r="W59" i="73" s="1"/>
  <c r="B59" i="73" s="1"/>
  <c r="J59" i="73" s="1"/>
  <c r="U58" i="73"/>
  <c r="W58" i="73" s="1"/>
  <c r="B58" i="73" s="1"/>
  <c r="J58" i="73" s="1"/>
  <c r="U57" i="73"/>
  <c r="W57" i="73" s="1"/>
  <c r="B57" i="73" s="1"/>
  <c r="J57" i="73" s="1"/>
  <c r="U56" i="73"/>
  <c r="B56" i="73"/>
  <c r="J56" i="73" s="1"/>
  <c r="U55" i="73"/>
  <c r="W55" i="73" s="1"/>
  <c r="B55" i="73" s="1"/>
  <c r="J55" i="73" s="1"/>
  <c r="B54" i="73"/>
  <c r="J54" i="73" s="1"/>
  <c r="B53" i="73"/>
  <c r="J53" i="73" s="1"/>
  <c r="B50" i="73"/>
  <c r="J50" i="73" s="1"/>
  <c r="B48" i="73"/>
  <c r="J48" i="73" s="1"/>
  <c r="B47" i="73"/>
  <c r="B49" i="73" s="1"/>
  <c r="J49" i="73" s="1"/>
  <c r="A46" i="73"/>
  <c r="J35" i="73"/>
  <c r="J34" i="73"/>
  <c r="J33" i="73"/>
  <c r="J32" i="73"/>
  <c r="J31" i="73"/>
  <c r="J30" i="73"/>
  <c r="B29" i="73"/>
  <c r="J29" i="73" s="1"/>
  <c r="U28" i="73"/>
  <c r="W28" i="73" s="1"/>
  <c r="B28" i="73" s="1"/>
  <c r="J28" i="73" s="1"/>
  <c r="U27" i="73"/>
  <c r="W27" i="73" s="1"/>
  <c r="B27" i="73" s="1"/>
  <c r="J27" i="73" s="1"/>
  <c r="U26" i="73"/>
  <c r="W26" i="73" s="1"/>
  <c r="B26" i="73" s="1"/>
  <c r="J26" i="73" s="1"/>
  <c r="U25" i="73"/>
  <c r="B25" i="73" s="1"/>
  <c r="J25" i="73" s="1"/>
  <c r="U24" i="73"/>
  <c r="W24" i="73" s="1"/>
  <c r="B24" i="73" s="1"/>
  <c r="J24" i="73" s="1"/>
  <c r="B23" i="73"/>
  <c r="J23" i="73" s="1"/>
  <c r="J22" i="73"/>
  <c r="A22" i="73"/>
  <c r="J21" i="73"/>
  <c r="A21" i="73"/>
  <c r="J20" i="73"/>
  <c r="A19" i="73"/>
  <c r="B18" i="73"/>
  <c r="B19" i="73" s="1"/>
  <c r="J19" i="73" s="1"/>
  <c r="A18" i="73"/>
  <c r="J17" i="73"/>
  <c r="A17" i="73"/>
  <c r="J16" i="73"/>
  <c r="A16" i="73"/>
  <c r="J15" i="73"/>
  <c r="J14" i="73"/>
  <c r="J13" i="73"/>
  <c r="A12" i="73"/>
  <c r="B17" i="72"/>
  <c r="B16" i="72"/>
  <c r="B15" i="72"/>
  <c r="A12" i="72"/>
  <c r="J18" i="73" l="1"/>
  <c r="J47" i="73"/>
  <c r="J80" i="73"/>
  <c r="B115" i="73"/>
  <c r="J115" i="73" s="1"/>
  <c r="B85" i="73"/>
  <c r="J85" i="73" s="1"/>
  <c r="B82" i="73"/>
  <c r="J82" i="73" s="1"/>
  <c r="M267" i="77"/>
  <c r="L267" i="77"/>
  <c r="I267" i="77"/>
  <c r="N45" i="76"/>
  <c r="M45" i="76"/>
  <c r="M91" i="77"/>
  <c r="I91" i="77"/>
  <c r="M239" i="77"/>
  <c r="I239" i="77"/>
  <c r="M92" i="77"/>
  <c r="I92" i="77"/>
  <c r="L393" i="77"/>
  <c r="I393" i="77"/>
  <c r="M393" i="77"/>
  <c r="B167" i="88"/>
  <c r="I167" i="88" s="1"/>
  <c r="B162" i="88"/>
  <c r="B154" i="88" s="1"/>
  <c r="I168" i="88"/>
  <c r="J78" i="73"/>
  <c r="M41" i="76"/>
  <c r="M59" i="77"/>
  <c r="L59" i="77"/>
  <c r="L96" i="77"/>
  <c r="I265" i="77"/>
  <c r="L265" i="77"/>
  <c r="B83" i="73"/>
  <c r="J83" i="73" s="1"/>
  <c r="B116" i="73"/>
  <c r="J116" i="73" s="1"/>
  <c r="M30" i="77"/>
  <c r="L30" i="77"/>
  <c r="I30" i="77"/>
  <c r="L36" i="77"/>
  <c r="M36" i="77"/>
  <c r="L57" i="77"/>
  <c r="I59" i="77"/>
  <c r="I94" i="77"/>
  <c r="M96" i="77"/>
  <c r="Q159" i="77" a="1"/>
  <c r="I291" i="77"/>
  <c r="L291" i="77"/>
  <c r="M363" i="77"/>
  <c r="L363" i="77"/>
  <c r="I363" i="77"/>
  <c r="I365" i="77"/>
  <c r="L365" i="77"/>
  <c r="B277" i="88"/>
  <c r="I277" i="88" s="1"/>
  <c r="B276" i="88"/>
  <c r="M33" i="77"/>
  <c r="L33" i="77"/>
  <c r="I33" i="77"/>
  <c r="I63" i="77"/>
  <c r="M362" i="77"/>
  <c r="L362" i="77"/>
  <c r="I362" i="77"/>
  <c r="J112" i="73"/>
  <c r="B46" i="76"/>
  <c r="J46" i="76" s="1"/>
  <c r="L27" i="77"/>
  <c r="I27" i="77"/>
  <c r="I31" i="77"/>
  <c r="L34" i="77"/>
  <c r="I36" i="77"/>
  <c r="M57" i="77"/>
  <c r="I93" i="77"/>
  <c r="M224" i="77"/>
  <c r="L224" i="77"/>
  <c r="I224" i="77"/>
  <c r="M309" i="77"/>
  <c r="I379" i="77"/>
  <c r="L405" i="77"/>
  <c r="I405" i="77"/>
  <c r="M405" i="77"/>
  <c r="M238" i="77"/>
  <c r="L238" i="77"/>
  <c r="I238" i="77"/>
  <c r="M457" i="77"/>
  <c r="L457" i="77"/>
  <c r="I457" i="77"/>
  <c r="O32" i="94"/>
  <c r="B51" i="73"/>
  <c r="J51" i="73" s="1"/>
  <c r="B113" i="73"/>
  <c r="J113" i="73" s="1"/>
  <c r="M25" i="77"/>
  <c r="L25" i="77"/>
  <c r="M28" i="77"/>
  <c r="L28" i="77"/>
  <c r="L31" i="77"/>
  <c r="M34" i="77"/>
  <c r="M39" i="77"/>
  <c r="L39" i="77"/>
  <c r="L237" i="77"/>
  <c r="I237" i="77"/>
  <c r="M237" i="77"/>
  <c r="L266" i="77"/>
  <c r="I266" i="77"/>
  <c r="M266" i="77"/>
  <c r="L392" i="77"/>
  <c r="L419" i="77"/>
  <c r="I419" i="77"/>
  <c r="M419" i="77"/>
  <c r="P13" i="86"/>
  <c r="I13" i="86"/>
  <c r="I52" i="77"/>
  <c r="I95" i="77"/>
  <c r="I364" i="77"/>
  <c r="M392" i="77"/>
  <c r="L456" i="77"/>
  <c r="O31" i="84"/>
  <c r="I42" i="100"/>
  <c r="B37" i="100"/>
  <c r="B242" i="103"/>
  <c r="B235" i="103" s="1"/>
  <c r="I235" i="103" s="1"/>
  <c r="I247" i="103"/>
  <c r="M163" i="77"/>
  <c r="L163" i="77"/>
  <c r="I163" i="77"/>
  <c r="I248" i="88"/>
  <c r="B247" i="88"/>
  <c r="M252" i="77"/>
  <c r="L252" i="77"/>
  <c r="I252" i="77"/>
  <c r="M378" i="77"/>
  <c r="I378" i="77"/>
  <c r="B52" i="73"/>
  <c r="J52" i="73" s="1"/>
  <c r="M52" i="77"/>
  <c r="I55" i="77"/>
  <c r="M55" i="77"/>
  <c r="I307" i="77"/>
  <c r="M307" i="77"/>
  <c r="I322" i="77"/>
  <c r="M322" i="77"/>
  <c r="L364" i="77"/>
  <c r="I377" i="77"/>
  <c r="M456" i="77"/>
  <c r="M29" i="78"/>
  <c r="L29" i="78"/>
  <c r="I29" i="78"/>
  <c r="B43" i="100"/>
  <c r="I43" i="100" s="1"/>
  <c r="I236" i="77"/>
  <c r="L236" i="77"/>
  <c r="N107" i="76"/>
  <c r="M107" i="76"/>
  <c r="I29" i="77"/>
  <c r="I32" i="77"/>
  <c r="M32" i="77"/>
  <c r="B37" i="77"/>
  <c r="R37" i="77"/>
  <c r="M56" i="77"/>
  <c r="L56" i="77"/>
  <c r="I56" i="77"/>
  <c r="B97" i="77"/>
  <c r="M95" i="77"/>
  <c r="M308" i="77"/>
  <c r="I308" i="77"/>
  <c r="B334" i="77"/>
  <c r="R335" i="77"/>
  <c r="I380" i="77"/>
  <c r="M380" i="77"/>
  <c r="B177" i="77"/>
  <c r="I330" i="88"/>
  <c r="B329" i="88"/>
  <c r="B242" i="98"/>
  <c r="B235" i="98" s="1"/>
  <c r="I235" i="98" s="1"/>
  <c r="I247" i="98"/>
  <c r="B98" i="77"/>
  <c r="I259" i="98"/>
  <c r="B254" i="98"/>
  <c r="B234" i="98" s="1"/>
  <c r="I234" i="98" s="1"/>
  <c r="I216" i="103"/>
  <c r="B211" i="103"/>
  <c r="N33" i="104"/>
  <c r="M73" i="76"/>
  <c r="I61" i="77"/>
  <c r="I443" i="77"/>
  <c r="I27" i="78"/>
  <c r="J59" i="76"/>
  <c r="B95" i="100"/>
  <c r="I100" i="100"/>
  <c r="L32" i="78"/>
  <c r="B271" i="98"/>
  <c r="P13" i="101"/>
  <c r="I13" i="101"/>
  <c r="J48" i="102"/>
  <c r="B43" i="102"/>
  <c r="B42" i="108"/>
  <c r="I42" i="108" s="1"/>
  <c r="I55" i="108"/>
  <c r="B50" i="108"/>
  <c r="B241" i="93"/>
  <c r="B234" i="93" s="1"/>
  <c r="I234" i="93" s="1"/>
  <c r="J56" i="97"/>
  <c r="I167" i="98"/>
  <c r="B242" i="108"/>
  <c r="B235" i="108" s="1"/>
  <c r="I235" i="108" s="1"/>
  <c r="I247" i="108"/>
  <c r="B100" i="105"/>
  <c r="B346" i="88"/>
  <c r="B54" i="90"/>
  <c r="B101" i="95"/>
  <c r="I101" i="95" s="1"/>
  <c r="B303" i="98"/>
  <c r="I308" i="108"/>
  <c r="B303" i="108"/>
  <c r="O13" i="105"/>
  <c r="Q13" i="105" s="1"/>
  <c r="B13" i="105" s="1"/>
  <c r="I13" i="105" s="1"/>
  <c r="Q108" i="108"/>
  <c r="R110" i="108" s="1"/>
  <c r="B110" i="108" s="1"/>
  <c r="I110" i="108" s="1"/>
  <c r="I138" i="103"/>
  <c r="B133" i="103"/>
  <c r="B109" i="103" s="1"/>
  <c r="I109" i="103" s="1"/>
  <c r="I351" i="103"/>
  <c r="B346" i="103"/>
  <c r="J12" i="107"/>
  <c r="B12" i="106"/>
  <c r="B7" i="106" s="1"/>
  <c r="I138" i="108"/>
  <c r="B211" i="108"/>
  <c r="B346" i="108"/>
  <c r="B30" i="102" l="1"/>
  <c r="J30" i="102" s="1"/>
  <c r="B12" i="102"/>
  <c r="I247" i="88"/>
  <c r="B242" i="88"/>
  <c r="B235" i="88" s="1"/>
  <c r="I235" i="88" s="1"/>
  <c r="L97" i="77"/>
  <c r="M97" i="77"/>
  <c r="I97" i="77"/>
  <c r="I276" i="88"/>
  <c r="B271" i="88"/>
  <c r="I334" i="77"/>
  <c r="B337" i="77"/>
  <c r="I337" i="77" s="1"/>
  <c r="R161" i="77"/>
  <c r="Q159" i="77"/>
  <c r="R159" i="77" s="1"/>
  <c r="R162" i="77"/>
  <c r="R160" i="77"/>
  <c r="B95" i="105"/>
  <c r="I100" i="105"/>
  <c r="I154" i="88"/>
  <c r="B152" i="88"/>
  <c r="I152" i="88" s="1"/>
  <c r="B147" i="88"/>
  <c r="B324" i="88"/>
  <c r="I329" i="88"/>
  <c r="M46" i="76"/>
  <c r="N46" i="76"/>
  <c r="L37" i="77"/>
  <c r="M37" i="77"/>
  <c r="I37" i="77"/>
  <c r="J12" i="102" l="1"/>
  <c r="B7" i="102"/>
  <c r="B24" i="99" s="1"/>
  <c r="N33" i="99" s="1"/>
  <c r="B259" i="88"/>
  <c r="B260" i="88"/>
  <c r="I260" i="88" s="1"/>
  <c r="I259" i="88" l="1"/>
  <c r="B254" i="88"/>
  <c r="B234" i="88" s="1"/>
  <c r="I234" i="88" l="1"/>
  <c r="B233" i="88"/>
  <c r="B153" i="88" l="1"/>
  <c r="I153" i="88" s="1"/>
  <c r="I233" i="88"/>
  <c r="B228" i="88"/>
  <c r="A39" i="71" l="1"/>
  <c r="A27" i="71"/>
  <c r="A41" i="71" s="1"/>
  <c r="B15" i="71"/>
  <c r="B16" i="71" s="1"/>
  <c r="A12" i="71"/>
  <c r="A40" i="71" s="1"/>
  <c r="I30" i="70"/>
  <c r="I29" i="70"/>
  <c r="I28" i="70"/>
  <c r="M28" i="70" s="1"/>
  <c r="I27" i="70"/>
  <c r="M27" i="70" s="1"/>
  <c r="M26" i="70"/>
  <c r="L26" i="70"/>
  <c r="I26" i="70"/>
  <c r="I25" i="70"/>
  <c r="F25" i="70"/>
  <c r="C25" i="70"/>
  <c r="I14" i="70"/>
  <c r="B13" i="70"/>
  <c r="I13" i="70" s="1"/>
  <c r="F12" i="70"/>
  <c r="C12" i="70"/>
  <c r="B12" i="70"/>
  <c r="I12" i="70" s="1"/>
  <c r="O1" i="70"/>
  <c r="T68" i="69"/>
  <c r="B68" i="69"/>
  <c r="A67" i="69"/>
  <c r="A55" i="69"/>
  <c r="B43" i="69"/>
  <c r="B44" i="69" s="1"/>
  <c r="A41" i="69"/>
  <c r="B28" i="69"/>
  <c r="B29" i="69" s="1"/>
  <c r="B30" i="69" s="1"/>
  <c r="A27" i="69"/>
  <c r="B16" i="69"/>
  <c r="B15" i="69"/>
  <c r="A12" i="69"/>
  <c r="B4" i="69"/>
  <c r="I17" i="68"/>
  <c r="I16" i="68"/>
  <c r="I15" i="68"/>
  <c r="I14" i="68"/>
  <c r="I13" i="68"/>
  <c r="F12" i="68"/>
  <c r="C12" i="68"/>
  <c r="B12" i="68"/>
  <c r="I12" i="68" s="1"/>
  <c r="O1" i="68"/>
  <c r="A98" i="67"/>
  <c r="A94" i="67"/>
  <c r="A93" i="67"/>
  <c r="A91" i="67"/>
  <c r="A79" i="67"/>
  <c r="A67" i="67"/>
  <c r="A55" i="67"/>
  <c r="A97" i="67" s="1"/>
  <c r="B43" i="67"/>
  <c r="B44" i="67" s="1"/>
  <c r="A41" i="67"/>
  <c r="B28" i="67"/>
  <c r="B29" i="67" s="1"/>
  <c r="B30" i="67" s="1"/>
  <c r="A27" i="67"/>
  <c r="B16" i="67"/>
  <c r="B15" i="67"/>
  <c r="A12" i="67"/>
  <c r="A92" i="67" s="1"/>
  <c r="I265" i="66"/>
  <c r="I264" i="66"/>
  <c r="I263" i="66"/>
  <c r="I262" i="66"/>
  <c r="I261" i="66"/>
  <c r="B261" i="66"/>
  <c r="I260" i="66"/>
  <c r="I259" i="66"/>
  <c r="I258" i="66"/>
  <c r="I257" i="66"/>
  <c r="I256" i="66"/>
  <c r="I255" i="66"/>
  <c r="I254" i="66"/>
  <c r="I253" i="66"/>
  <c r="I252" i="66"/>
  <c r="I251" i="66"/>
  <c r="I250" i="66"/>
  <c r="I249" i="66"/>
  <c r="F249" i="66"/>
  <c r="C249" i="66"/>
  <c r="B249" i="66"/>
  <c r="I238" i="66"/>
  <c r="I237" i="66"/>
  <c r="I236" i="66"/>
  <c r="I235" i="66"/>
  <c r="I234" i="66"/>
  <c r="I233" i="66"/>
  <c r="I232" i="66"/>
  <c r="I231" i="66"/>
  <c r="I230" i="66"/>
  <c r="I229" i="66"/>
  <c r="I228" i="66"/>
  <c r="F228" i="66"/>
  <c r="C228" i="66"/>
  <c r="B228" i="66"/>
  <c r="I217" i="66"/>
  <c r="I216" i="66"/>
  <c r="I215" i="66"/>
  <c r="I214" i="66"/>
  <c r="I213" i="66"/>
  <c r="I212" i="66"/>
  <c r="I211" i="66"/>
  <c r="I210" i="66"/>
  <c r="I209" i="66"/>
  <c r="I208" i="66"/>
  <c r="I207" i="66"/>
  <c r="I206" i="66"/>
  <c r="I205" i="66"/>
  <c r="F205" i="66"/>
  <c r="C205" i="66"/>
  <c r="B205" i="66"/>
  <c r="I194" i="66"/>
  <c r="I193" i="66"/>
  <c r="I192" i="66"/>
  <c r="I191" i="66"/>
  <c r="I190" i="66"/>
  <c r="I189" i="66"/>
  <c r="I188" i="66"/>
  <c r="I187" i="66"/>
  <c r="I186" i="66"/>
  <c r="I185" i="66"/>
  <c r="I184" i="66"/>
  <c r="I183" i="66"/>
  <c r="I182" i="66"/>
  <c r="I181" i="66"/>
  <c r="I180" i="66"/>
  <c r="I179" i="66"/>
  <c r="I178" i="66"/>
  <c r="F177" i="66"/>
  <c r="C177" i="66"/>
  <c r="B177" i="66"/>
  <c r="I177" i="66" s="1"/>
  <c r="I166" i="66"/>
  <c r="I165" i="66"/>
  <c r="I164" i="66"/>
  <c r="I163" i="66"/>
  <c r="I162" i="66"/>
  <c r="I161" i="66"/>
  <c r="I160" i="66"/>
  <c r="I159" i="66"/>
  <c r="I158" i="66"/>
  <c r="I157" i="66"/>
  <c r="I156" i="66"/>
  <c r="I155" i="66"/>
  <c r="I154" i="66"/>
  <c r="I153" i="66"/>
  <c r="I152" i="66"/>
  <c r="I151" i="66"/>
  <c r="I150" i="66"/>
  <c r="I149" i="66"/>
  <c r="F148" i="66"/>
  <c r="C148" i="66"/>
  <c r="B148" i="66"/>
  <c r="I148" i="66" s="1"/>
  <c r="I137" i="66"/>
  <c r="I136" i="66"/>
  <c r="I135" i="66"/>
  <c r="I134" i="66"/>
  <c r="I133" i="66"/>
  <c r="I132" i="66"/>
  <c r="F131" i="66"/>
  <c r="C131" i="66"/>
  <c r="B131" i="66"/>
  <c r="I131" i="66" s="1"/>
  <c r="I120" i="66"/>
  <c r="I119" i="66"/>
  <c r="I118" i="66"/>
  <c r="I117" i="66"/>
  <c r="I116" i="66"/>
  <c r="I115" i="66"/>
  <c r="I114" i="66"/>
  <c r="I113" i="66"/>
  <c r="I112" i="66"/>
  <c r="I111" i="66"/>
  <c r="I110" i="66"/>
  <c r="I109" i="66"/>
  <c r="I108" i="66"/>
  <c r="F107" i="66"/>
  <c r="C107" i="66"/>
  <c r="B107" i="66"/>
  <c r="I107" i="66" s="1"/>
  <c r="I96" i="66"/>
  <c r="I95" i="66"/>
  <c r="I94" i="66"/>
  <c r="I93" i="66"/>
  <c r="I92" i="66"/>
  <c r="I91" i="66"/>
  <c r="I90" i="66"/>
  <c r="I89" i="66"/>
  <c r="I88" i="66"/>
  <c r="I87" i="66"/>
  <c r="I86" i="66"/>
  <c r="F86" i="66"/>
  <c r="C86" i="66"/>
  <c r="B86" i="66"/>
  <c r="I75" i="66"/>
  <c r="I74" i="66"/>
  <c r="I73" i="66"/>
  <c r="I72" i="66"/>
  <c r="I71" i="66"/>
  <c r="I70" i="66"/>
  <c r="I69" i="66"/>
  <c r="F68" i="66"/>
  <c r="C68" i="66"/>
  <c r="B68" i="66"/>
  <c r="I68" i="66" s="1"/>
  <c r="I57" i="66"/>
  <c r="I56" i="66"/>
  <c r="I55" i="66"/>
  <c r="I54" i="66"/>
  <c r="I53" i="66"/>
  <c r="I52" i="66"/>
  <c r="I51" i="66"/>
  <c r="I50" i="66"/>
  <c r="I49" i="66"/>
  <c r="I48" i="66"/>
  <c r="I47" i="66"/>
  <c r="I46" i="66"/>
  <c r="I45" i="66"/>
  <c r="I44" i="66"/>
  <c r="I43" i="66"/>
  <c r="I42" i="66"/>
  <c r="I41" i="66"/>
  <c r="I40" i="66"/>
  <c r="F39" i="66"/>
  <c r="C39" i="66"/>
  <c r="B39" i="66"/>
  <c r="I39" i="66" s="1"/>
  <c r="I28" i="66"/>
  <c r="I27" i="66"/>
  <c r="I26" i="66"/>
  <c r="I25" i="66"/>
  <c r="F25" i="66"/>
  <c r="C25" i="66"/>
  <c r="B25" i="66"/>
  <c r="I14" i="66"/>
  <c r="I13" i="66"/>
  <c r="I12" i="66"/>
  <c r="F12" i="66"/>
  <c r="C12" i="66"/>
  <c r="B12" i="66"/>
  <c r="O1" i="66"/>
  <c r="I51" i="65"/>
  <c r="B50" i="65"/>
  <c r="I50" i="65" s="1"/>
  <c r="I49" i="65"/>
  <c r="F49" i="65"/>
  <c r="C49" i="65"/>
  <c r="B49" i="65"/>
  <c r="I38" i="65"/>
  <c r="B37" i="65"/>
  <c r="I37" i="65" s="1"/>
  <c r="I36" i="65"/>
  <c r="B35" i="65"/>
  <c r="I35" i="65" s="1"/>
  <c r="B34" i="65"/>
  <c r="I34" i="65" s="1"/>
  <c r="B33" i="65"/>
  <c r="I33" i="65" s="1"/>
  <c r="B32" i="65"/>
  <c r="I32" i="65" s="1"/>
  <c r="B31" i="65"/>
  <c r="I31" i="65" s="1"/>
  <c r="I30" i="65"/>
  <c r="B29" i="65"/>
  <c r="I29" i="65" s="1"/>
  <c r="F28" i="65"/>
  <c r="C28" i="65"/>
  <c r="B28" i="65"/>
  <c r="I28" i="65" s="1"/>
  <c r="I17" i="65"/>
  <c r="B16" i="65"/>
  <c r="I16" i="65" s="1"/>
  <c r="I15" i="65"/>
  <c r="I14" i="65"/>
  <c r="B13" i="65"/>
  <c r="I13" i="65" s="1"/>
  <c r="F12" i="65"/>
  <c r="C12" i="65"/>
  <c r="B12" i="65"/>
  <c r="I12" i="65" s="1"/>
  <c r="O1" i="65"/>
  <c r="A99" i="67" l="1"/>
  <c r="L27" i="70"/>
  <c r="A95" i="67"/>
  <c r="L28" i="70"/>
  <c r="A96" i="67"/>
  <c r="A94" i="64" l="1"/>
  <c r="A93" i="64"/>
  <c r="A91" i="64"/>
  <c r="A79" i="64"/>
  <c r="A67" i="64"/>
  <c r="A95" i="64" s="1"/>
  <c r="A55" i="64"/>
  <c r="A100" i="64" s="1"/>
  <c r="B43" i="64"/>
  <c r="B44" i="64" s="1"/>
  <c r="A41" i="64"/>
  <c r="A99" i="64" s="1"/>
  <c r="B28" i="64"/>
  <c r="B29" i="64" s="1"/>
  <c r="B30" i="64" s="1"/>
  <c r="A27" i="64"/>
  <c r="B16" i="64"/>
  <c r="B15" i="64"/>
  <c r="A12" i="64"/>
  <c r="A92" i="64" s="1"/>
  <c r="N57" i="63"/>
  <c r="M57" i="63"/>
  <c r="L57" i="63"/>
  <c r="K57" i="63"/>
  <c r="J57" i="63"/>
  <c r="I57" i="63"/>
  <c r="H57" i="63"/>
  <c r="D57" i="63"/>
  <c r="A57" i="63"/>
  <c r="N56" i="63"/>
  <c r="M56" i="63"/>
  <c r="L56" i="63"/>
  <c r="K56" i="63"/>
  <c r="J56" i="63"/>
  <c r="I56" i="63"/>
  <c r="H56" i="63"/>
  <c r="G56" i="63"/>
  <c r="E56" i="63"/>
  <c r="D56" i="63"/>
  <c r="N55" i="63"/>
  <c r="M55" i="63"/>
  <c r="L55" i="63"/>
  <c r="K55" i="63"/>
  <c r="J55" i="63"/>
  <c r="I55" i="63"/>
  <c r="H55" i="63"/>
  <c r="G55" i="63"/>
  <c r="E55" i="63"/>
  <c r="D55" i="63"/>
  <c r="A54" i="63"/>
  <c r="A17" i="58" s="1"/>
  <c r="B43" i="63"/>
  <c r="B42" i="63"/>
  <c r="A39" i="63"/>
  <c r="A26" i="63"/>
  <c r="A56" i="63" s="1"/>
  <c r="B14" i="63"/>
  <c r="B15" i="63" s="1"/>
  <c r="A12" i="63"/>
  <c r="A55" i="63" s="1"/>
  <c r="N246" i="62"/>
  <c r="M246" i="62"/>
  <c r="L246" i="62"/>
  <c r="K246" i="62"/>
  <c r="J246" i="62"/>
  <c r="I246" i="62"/>
  <c r="G246" i="62"/>
  <c r="E246" i="62"/>
  <c r="D246" i="62"/>
  <c r="B246" i="62"/>
  <c r="A246" i="62"/>
  <c r="N245" i="62"/>
  <c r="M245" i="62"/>
  <c r="L245" i="62"/>
  <c r="K245" i="62"/>
  <c r="J245" i="62"/>
  <c r="I245" i="62"/>
  <c r="G245" i="62"/>
  <c r="E245" i="62"/>
  <c r="D245" i="62"/>
  <c r="B245" i="62"/>
  <c r="A245" i="62"/>
  <c r="N244" i="62"/>
  <c r="M244" i="62"/>
  <c r="L244" i="62"/>
  <c r="L18" i="58" s="1"/>
  <c r="K244" i="62"/>
  <c r="K18" i="58" s="1"/>
  <c r="J244" i="62"/>
  <c r="J18" i="58" s="1"/>
  <c r="I244" i="62"/>
  <c r="G244" i="62"/>
  <c r="E244" i="62"/>
  <c r="D244" i="62"/>
  <c r="B244" i="62"/>
  <c r="A244" i="62"/>
  <c r="N243" i="62"/>
  <c r="M243" i="62"/>
  <c r="L243" i="62"/>
  <c r="K243" i="62"/>
  <c r="J243" i="62"/>
  <c r="I243" i="62"/>
  <c r="G243" i="62"/>
  <c r="E243" i="62"/>
  <c r="D243" i="62"/>
  <c r="B243" i="62"/>
  <c r="A242" i="62"/>
  <c r="A224" i="62"/>
  <c r="A213" i="62"/>
  <c r="A212" i="62"/>
  <c r="A211" i="62"/>
  <c r="A210" i="62"/>
  <c r="A209" i="62"/>
  <c r="A208" i="62"/>
  <c r="A243" i="62" s="1"/>
  <c r="A197" i="62"/>
  <c r="A196" i="62"/>
  <c r="A195" i="62"/>
  <c r="A194" i="62"/>
  <c r="A183" i="62"/>
  <c r="A182" i="62"/>
  <c r="A181" i="62"/>
  <c r="A180" i="62"/>
  <c r="A179" i="62"/>
  <c r="A160" i="62"/>
  <c r="A159" i="62"/>
  <c r="B148" i="62"/>
  <c r="S147" i="62"/>
  <c r="U147" i="62" s="1"/>
  <c r="B147" i="62" s="1"/>
  <c r="S146" i="62"/>
  <c r="U146" i="62" s="1"/>
  <c r="B146" i="62" s="1"/>
  <c r="A145" i="62"/>
  <c r="B133" i="62"/>
  <c r="B134" i="62" s="1"/>
  <c r="A131" i="62"/>
  <c r="B119" i="62"/>
  <c r="B118" i="62" s="1"/>
  <c r="A116" i="62"/>
  <c r="B104" i="62"/>
  <c r="B105" i="62" s="1"/>
  <c r="A101" i="62"/>
  <c r="B89" i="62"/>
  <c r="B88" i="62"/>
  <c r="A86" i="62"/>
  <c r="B74" i="62"/>
  <c r="B75" i="62" s="1"/>
  <c r="A71" i="62"/>
  <c r="B60" i="62"/>
  <c r="B59" i="62"/>
  <c r="J59" i="62" s="1"/>
  <c r="S58" i="62"/>
  <c r="U58" i="62" s="1"/>
  <c r="B58" i="62" s="1"/>
  <c r="S57" i="62"/>
  <c r="U57" i="62" s="1"/>
  <c r="B57" i="62" s="1"/>
  <c r="A56" i="62"/>
  <c r="B44" i="62"/>
  <c r="B45" i="62" s="1"/>
  <c r="A42" i="62"/>
  <c r="B30" i="62"/>
  <c r="B29" i="62"/>
  <c r="A27" i="62"/>
  <c r="B16" i="62"/>
  <c r="B15" i="62"/>
  <c r="A12" i="62"/>
  <c r="A128" i="61"/>
  <c r="A127" i="61"/>
  <c r="A126" i="61"/>
  <c r="A125" i="61"/>
  <c r="B114" i="61"/>
  <c r="A113" i="61"/>
  <c r="B102" i="61"/>
  <c r="B101" i="61"/>
  <c r="A99" i="61"/>
  <c r="B88" i="61"/>
  <c r="A85" i="61"/>
  <c r="B74" i="61"/>
  <c r="A71" i="61"/>
  <c r="B60" i="61"/>
  <c r="A57" i="61"/>
  <c r="B46" i="61"/>
  <c r="A42" i="61"/>
  <c r="B31" i="61"/>
  <c r="B30" i="61"/>
  <c r="B29" i="61"/>
  <c r="A27" i="61"/>
  <c r="B16" i="61"/>
  <c r="B15" i="61"/>
  <c r="J15" i="61" s="1"/>
  <c r="S14" i="61"/>
  <c r="U14" i="61" s="1"/>
  <c r="B14" i="61" s="1"/>
  <c r="S13" i="61"/>
  <c r="U13" i="61" s="1"/>
  <c r="B13" i="61" s="1"/>
  <c r="A12" i="61"/>
  <c r="N85" i="60"/>
  <c r="M85" i="60"/>
  <c r="L85" i="60"/>
  <c r="K85" i="60"/>
  <c r="J85" i="60"/>
  <c r="I85" i="60"/>
  <c r="G85" i="60"/>
  <c r="F85" i="60"/>
  <c r="E85" i="60"/>
  <c r="D85" i="60"/>
  <c r="B85" i="60"/>
  <c r="A84" i="60"/>
  <c r="A73" i="60"/>
  <c r="A72" i="60"/>
  <c r="A71" i="60"/>
  <c r="A70" i="60"/>
  <c r="A69" i="60"/>
  <c r="A85" i="60" s="1"/>
  <c r="B58" i="60"/>
  <c r="B57" i="60"/>
  <c r="A55" i="60"/>
  <c r="B43" i="60"/>
  <c r="B42" i="60"/>
  <c r="A41" i="60"/>
  <c r="B29" i="60"/>
  <c r="B28" i="60"/>
  <c r="B27" i="60"/>
  <c r="A26" i="60"/>
  <c r="B14" i="60"/>
  <c r="B13" i="60"/>
  <c r="B72" i="59"/>
  <c r="A71" i="59"/>
  <c r="A70" i="59"/>
  <c r="A69" i="59"/>
  <c r="A68" i="59"/>
  <c r="B56" i="59"/>
  <c r="B44" i="59"/>
  <c r="B43" i="59"/>
  <c r="B29" i="59"/>
  <c r="B27" i="59"/>
  <c r="B30" i="59" s="1"/>
  <c r="B13" i="59"/>
  <c r="N18" i="58"/>
  <c r="M18" i="58"/>
  <c r="I18" i="58"/>
  <c r="A18" i="58"/>
  <c r="N17" i="58"/>
  <c r="M17" i="58"/>
  <c r="L17" i="58"/>
  <c r="K17" i="58"/>
  <c r="J17" i="58"/>
  <c r="I17" i="58"/>
  <c r="N16" i="58"/>
  <c r="M16" i="58"/>
  <c r="L16" i="58"/>
  <c r="K16" i="58"/>
  <c r="J16" i="58"/>
  <c r="I16" i="58"/>
  <c r="G16" i="58"/>
  <c r="F16" i="58"/>
  <c r="E16" i="58"/>
  <c r="D16" i="58"/>
  <c r="B16" i="58"/>
  <c r="A16" i="58"/>
  <c r="N15" i="58"/>
  <c r="M15" i="58"/>
  <c r="L15" i="58"/>
  <c r="K15" i="58"/>
  <c r="J15" i="58"/>
  <c r="I15" i="58"/>
  <c r="G15" i="58"/>
  <c r="F15" i="58"/>
  <c r="E15" i="58"/>
  <c r="D15" i="58"/>
  <c r="B15" i="58"/>
  <c r="A15" i="58"/>
  <c r="N14" i="58"/>
  <c r="M14" i="58"/>
  <c r="L14" i="58"/>
  <c r="K14" i="58"/>
  <c r="J14" i="58"/>
  <c r="I14" i="58"/>
  <c r="G14" i="58"/>
  <c r="F14" i="58"/>
  <c r="E14" i="58"/>
  <c r="D14" i="58"/>
  <c r="B14" i="58"/>
  <c r="A14" i="58"/>
  <c r="N13" i="58"/>
  <c r="M13" i="58"/>
  <c r="L13" i="58"/>
  <c r="K13" i="58"/>
  <c r="J13" i="58"/>
  <c r="I13" i="58"/>
  <c r="G13" i="58"/>
  <c r="F13" i="58"/>
  <c r="E13" i="58"/>
  <c r="D13" i="58"/>
  <c r="B13" i="58"/>
  <c r="A13" i="58"/>
  <c r="A12" i="58"/>
  <c r="I18" i="30"/>
  <c r="A97" i="64" l="1"/>
  <c r="A98" i="64"/>
  <c r="A96" i="64"/>
  <c r="B58" i="55" l="1"/>
  <c r="B57" i="55"/>
  <c r="B45" i="55"/>
  <c r="B44" i="55"/>
  <c r="B43" i="55"/>
  <c r="B31" i="55"/>
  <c r="B30" i="55"/>
  <c r="B29" i="55"/>
  <c r="B17" i="55"/>
  <c r="A15" i="53" s="1"/>
  <c r="B16" i="55"/>
  <c r="B15" i="55"/>
  <c r="A12" i="55"/>
  <c r="B72" i="54"/>
  <c r="A71" i="54"/>
  <c r="A70" i="54"/>
  <c r="A69" i="54"/>
  <c r="A68" i="54"/>
  <c r="A67" i="54"/>
  <c r="A13" i="53" s="1"/>
  <c r="B56" i="54"/>
  <c r="B44" i="54"/>
  <c r="B43" i="54" s="1"/>
  <c r="B29" i="54"/>
  <c r="B30" i="54" s="1"/>
  <c r="B27" i="54"/>
  <c r="B13" i="54"/>
  <c r="A18" i="53"/>
  <c r="A17" i="53"/>
  <c r="A16" i="53"/>
  <c r="A14" i="53"/>
  <c r="A12" i="53"/>
  <c r="B362" i="52"/>
  <c r="I362" i="52" s="1"/>
  <c r="R361" i="52"/>
  <c r="B361" i="52"/>
  <c r="I361" i="52" s="1"/>
  <c r="R360" i="52"/>
  <c r="B360" i="52"/>
  <c r="I360" i="52" s="1"/>
  <c r="R359" i="52"/>
  <c r="B359" i="52" s="1"/>
  <c r="I359" i="52" s="1"/>
  <c r="R358" i="52"/>
  <c r="B358" i="52"/>
  <c r="I358" i="52" s="1"/>
  <c r="B357" i="52"/>
  <c r="I357" i="52" s="1"/>
  <c r="B356" i="52"/>
  <c r="I356" i="52" s="1"/>
  <c r="B355" i="52"/>
  <c r="I355" i="52" s="1"/>
  <c r="R354" i="52"/>
  <c r="B354" i="52" s="1"/>
  <c r="I354" i="52" s="1"/>
  <c r="I353" i="52"/>
  <c r="B353" i="52"/>
  <c r="I352" i="52"/>
  <c r="B352" i="52"/>
  <c r="B351" i="52"/>
  <c r="I351" i="52" s="1"/>
  <c r="B346" i="52"/>
  <c r="B340" i="52"/>
  <c r="I340" i="52" s="1"/>
  <c r="B339" i="52"/>
  <c r="I339" i="52" s="1"/>
  <c r="R338" i="52"/>
  <c r="B338" i="52"/>
  <c r="I338" i="52" s="1"/>
  <c r="R337" i="52"/>
  <c r="B337" i="52"/>
  <c r="I337" i="52" s="1"/>
  <c r="B336" i="52"/>
  <c r="I336" i="52" s="1"/>
  <c r="R335" i="52"/>
  <c r="B335" i="52"/>
  <c r="I335" i="52" s="1"/>
  <c r="I334" i="52"/>
  <c r="B334" i="52"/>
  <c r="I333" i="52"/>
  <c r="B333" i="52"/>
  <c r="I332" i="52"/>
  <c r="B332" i="52"/>
  <c r="R331" i="52"/>
  <c r="B331" i="52"/>
  <c r="I331" i="52" s="1"/>
  <c r="B330" i="52"/>
  <c r="I330" i="52" s="1"/>
  <c r="B329" i="52"/>
  <c r="I329" i="52" s="1"/>
  <c r="B318" i="52"/>
  <c r="I318" i="52" s="1"/>
  <c r="I317" i="52"/>
  <c r="B317" i="52"/>
  <c r="I316" i="52"/>
  <c r="B316" i="52"/>
  <c r="I315" i="52"/>
  <c r="B315" i="52"/>
  <c r="B314" i="52"/>
  <c r="I314" i="52" s="1"/>
  <c r="I313" i="52"/>
  <c r="B313" i="52"/>
  <c r="I312" i="52"/>
  <c r="B312" i="52"/>
  <c r="I311" i="52"/>
  <c r="B311" i="52"/>
  <c r="B310" i="52"/>
  <c r="I310" i="52" s="1"/>
  <c r="I309" i="52"/>
  <c r="B309" i="52"/>
  <c r="I308" i="52"/>
  <c r="B308" i="52"/>
  <c r="B303" i="52"/>
  <c r="R297" i="52"/>
  <c r="B297" i="52"/>
  <c r="I297" i="52" s="1"/>
  <c r="R296" i="52"/>
  <c r="B296" i="52"/>
  <c r="I296" i="52" s="1"/>
  <c r="B295" i="52"/>
  <c r="I295" i="52" s="1"/>
  <c r="T294" i="52"/>
  <c r="B294" i="52"/>
  <c r="I294" i="52" s="1"/>
  <c r="P293" i="52"/>
  <c r="I293" i="52"/>
  <c r="P292" i="52"/>
  <c r="I292" i="52"/>
  <c r="S290" i="52"/>
  <c r="B287" i="52"/>
  <c r="R281" i="52"/>
  <c r="B281" i="52"/>
  <c r="I281" i="52" s="1"/>
  <c r="R280" i="52"/>
  <c r="I280" i="52"/>
  <c r="B280" i="52"/>
  <c r="R279" i="52"/>
  <c r="B279" i="52" s="1"/>
  <c r="I279" i="52" s="1"/>
  <c r="P278" i="52"/>
  <c r="B278" i="52" s="1"/>
  <c r="I278" i="52" s="1"/>
  <c r="I277" i="52"/>
  <c r="B277" i="52"/>
  <c r="I276" i="52"/>
  <c r="B276" i="52"/>
  <c r="B271" i="52" s="1"/>
  <c r="R265" i="52"/>
  <c r="B265" i="52" s="1"/>
  <c r="I265" i="52" s="1"/>
  <c r="R264" i="52"/>
  <c r="B264" i="52" s="1"/>
  <c r="I264" i="52" s="1"/>
  <c r="R263" i="52"/>
  <c r="B263" i="52"/>
  <c r="I263" i="52" s="1"/>
  <c r="R262" i="52"/>
  <c r="B262" i="52"/>
  <c r="I262" i="52" s="1"/>
  <c r="R261" i="52"/>
  <c r="B261" i="52" s="1"/>
  <c r="I261" i="52" s="1"/>
  <c r="B260" i="52"/>
  <c r="I260" i="52" s="1"/>
  <c r="S248" i="52"/>
  <c r="B248" i="52" s="1"/>
  <c r="I248" i="52" s="1"/>
  <c r="S247" i="52"/>
  <c r="B247" i="52"/>
  <c r="I247" i="52" s="1"/>
  <c r="I236" i="52"/>
  <c r="B236" i="52"/>
  <c r="I233" i="52"/>
  <c r="B233" i="52"/>
  <c r="B228" i="52"/>
  <c r="P153" i="52" s="1"/>
  <c r="B153" i="52" s="1"/>
  <c r="I153" i="52" s="1"/>
  <c r="R222" i="52"/>
  <c r="B222" i="52" s="1"/>
  <c r="I222" i="52" s="1"/>
  <c r="R221" i="52"/>
  <c r="B221" i="52"/>
  <c r="I221" i="52" s="1"/>
  <c r="R220" i="52"/>
  <c r="I220" i="52"/>
  <c r="B220" i="52"/>
  <c r="R219" i="52"/>
  <c r="B219" i="52" s="1"/>
  <c r="I219" i="52" s="1"/>
  <c r="B218" i="52"/>
  <c r="I218" i="52" s="1"/>
  <c r="B217" i="52"/>
  <c r="I217" i="52" s="1"/>
  <c r="B216" i="52"/>
  <c r="I216" i="52" s="1"/>
  <c r="R205" i="52"/>
  <c r="B205" i="52"/>
  <c r="I205" i="52" s="1"/>
  <c r="R204" i="52"/>
  <c r="I204" i="52"/>
  <c r="B204" i="52"/>
  <c r="I203" i="52"/>
  <c r="B203" i="52"/>
  <c r="P201" i="52"/>
  <c r="I201" i="52"/>
  <c r="P200" i="52"/>
  <c r="I200" i="52"/>
  <c r="S196" i="52"/>
  <c r="S197" i="52" s="1"/>
  <c r="T200" i="52" s="1"/>
  <c r="B202" i="52" s="1"/>
  <c r="I202" i="52" s="1"/>
  <c r="B195" i="52"/>
  <c r="R189" i="52"/>
  <c r="B189" i="52"/>
  <c r="I189" i="52" s="1"/>
  <c r="R188" i="52"/>
  <c r="B188" i="52" s="1"/>
  <c r="I188" i="52" s="1"/>
  <c r="R187" i="52"/>
  <c r="B187" i="52"/>
  <c r="I187" i="52" s="1"/>
  <c r="P186" i="52"/>
  <c r="I186" i="52"/>
  <c r="B186" i="52"/>
  <c r="I185" i="52"/>
  <c r="B185" i="52"/>
  <c r="B184" i="52"/>
  <c r="I184" i="52" s="1"/>
  <c r="B179" i="52"/>
  <c r="R173" i="52"/>
  <c r="I173" i="52"/>
  <c r="B173" i="52"/>
  <c r="R172" i="52"/>
  <c r="B172" i="52" s="1"/>
  <c r="I172" i="52" s="1"/>
  <c r="R171" i="52"/>
  <c r="B171" i="52" s="1"/>
  <c r="I171" i="52" s="1"/>
  <c r="R170" i="52"/>
  <c r="B170" i="52" s="1"/>
  <c r="I170" i="52" s="1"/>
  <c r="R169" i="52"/>
  <c r="B169" i="52"/>
  <c r="I169" i="52" s="1"/>
  <c r="P168" i="52"/>
  <c r="B168" i="52"/>
  <c r="I168" i="52" s="1"/>
  <c r="P167" i="52"/>
  <c r="B167" i="52" s="1"/>
  <c r="B156" i="52"/>
  <c r="I156" i="52" s="1"/>
  <c r="R155" i="52"/>
  <c r="I155" i="52"/>
  <c r="B155" i="52"/>
  <c r="P154" i="52"/>
  <c r="B154" i="52" s="1"/>
  <c r="I154" i="52" s="1"/>
  <c r="P152" i="52"/>
  <c r="B152" i="52" s="1"/>
  <c r="R141" i="52"/>
  <c r="B141" i="52"/>
  <c r="I141" i="52" s="1"/>
  <c r="R140" i="52"/>
  <c r="I140" i="52"/>
  <c r="B140" i="52"/>
  <c r="R127" i="52"/>
  <c r="B127" i="52" s="1"/>
  <c r="I127" i="52" s="1"/>
  <c r="R126" i="52"/>
  <c r="B126" i="52"/>
  <c r="I126" i="52" s="1"/>
  <c r="R125" i="52"/>
  <c r="I125" i="52"/>
  <c r="B125" i="52"/>
  <c r="R124" i="52"/>
  <c r="B124" i="52" s="1"/>
  <c r="I124" i="52" s="1"/>
  <c r="R112" i="52"/>
  <c r="B112" i="52" s="1"/>
  <c r="I112" i="52" s="1"/>
  <c r="I111" i="52"/>
  <c r="Q107" i="52"/>
  <c r="R110" i="52" s="1"/>
  <c r="B110" i="52" s="1"/>
  <c r="I110" i="52" s="1"/>
  <c r="R97" i="52"/>
  <c r="I97" i="52"/>
  <c r="B97" i="52"/>
  <c r="I84" i="52"/>
  <c r="I83" i="52"/>
  <c r="I82" i="52"/>
  <c r="B77" i="52"/>
  <c r="R71" i="52"/>
  <c r="B71" i="52"/>
  <c r="I71" i="52" s="1"/>
  <c r="B69" i="52"/>
  <c r="I69" i="52" s="1"/>
  <c r="R57" i="52"/>
  <c r="B57" i="52"/>
  <c r="I57" i="52" s="1"/>
  <c r="R56" i="52"/>
  <c r="B56" i="52"/>
  <c r="I56" i="52" s="1"/>
  <c r="R55" i="52"/>
  <c r="I55" i="52"/>
  <c r="B55" i="52"/>
  <c r="B50" i="52"/>
  <c r="R44" i="52"/>
  <c r="B44" i="52" s="1"/>
  <c r="I44" i="52" s="1"/>
  <c r="I42" i="52"/>
  <c r="B42" i="52"/>
  <c r="R30" i="52"/>
  <c r="B30" i="52" s="1"/>
  <c r="I30" i="52" s="1"/>
  <c r="R29" i="52"/>
  <c r="B29" i="52" s="1"/>
  <c r="I29" i="52" s="1"/>
  <c r="R28" i="52"/>
  <c r="B28" i="52" s="1"/>
  <c r="I28" i="52" s="1"/>
  <c r="B27" i="52"/>
  <c r="I27" i="52" s="1"/>
  <c r="R15" i="52"/>
  <c r="B15" i="52" s="1"/>
  <c r="I15" i="52" s="1"/>
  <c r="B7" i="52"/>
  <c r="B57" i="51"/>
  <c r="J57" i="51" s="1"/>
  <c r="B56" i="51"/>
  <c r="J56" i="51" s="1"/>
  <c r="B55" i="51"/>
  <c r="J55" i="51" s="1"/>
  <c r="S54" i="51"/>
  <c r="J54" i="51"/>
  <c r="B54" i="51"/>
  <c r="S53" i="51"/>
  <c r="B53" i="51" s="1"/>
  <c r="J53" i="51" s="1"/>
  <c r="S52" i="51"/>
  <c r="B52" i="51" s="1"/>
  <c r="J52" i="51" s="1"/>
  <c r="J51" i="51"/>
  <c r="B51" i="51"/>
  <c r="S50" i="51"/>
  <c r="B50" i="51" s="1"/>
  <c r="J50" i="51" s="1"/>
  <c r="B49" i="51"/>
  <c r="J49" i="51" s="1"/>
  <c r="B48" i="51"/>
  <c r="B43" i="51" s="1"/>
  <c r="B30" i="51" s="1"/>
  <c r="J30" i="51" s="1"/>
  <c r="S37" i="51"/>
  <c r="B37" i="51" s="1"/>
  <c r="J37" i="51" s="1"/>
  <c r="S36" i="51"/>
  <c r="S35" i="51"/>
  <c r="B35" i="51" s="1"/>
  <c r="J35" i="51" s="1"/>
  <c r="B33" i="51"/>
  <c r="J33" i="51" s="1"/>
  <c r="S32" i="51"/>
  <c r="J32" i="51"/>
  <c r="B32" i="51"/>
  <c r="J31" i="51"/>
  <c r="B31" i="51"/>
  <c r="B19" i="51"/>
  <c r="S18" i="51"/>
  <c r="J18" i="51"/>
  <c r="B18" i="51"/>
  <c r="J17" i="51"/>
  <c r="B17" i="51"/>
  <c r="S16" i="51"/>
  <c r="B16" i="51"/>
  <c r="J16" i="51" s="1"/>
  <c r="B15" i="51"/>
  <c r="J15" i="51" s="1"/>
  <c r="B14" i="51"/>
  <c r="J14" i="51" s="1"/>
  <c r="I47" i="50"/>
  <c r="I46" i="50"/>
  <c r="I45" i="50"/>
  <c r="B45" i="50"/>
  <c r="B40" i="50"/>
  <c r="R34" i="50"/>
  <c r="B34" i="50"/>
  <c r="I34" i="50" s="1"/>
  <c r="R33" i="50"/>
  <c r="B33" i="50"/>
  <c r="I33" i="50" s="1"/>
  <c r="R32" i="50"/>
  <c r="B32" i="50" s="1"/>
  <c r="I32" i="50" s="1"/>
  <c r="R31" i="50"/>
  <c r="B31" i="50"/>
  <c r="I31" i="50" s="1"/>
  <c r="B30" i="50"/>
  <c r="I30" i="50" s="1"/>
  <c r="I29" i="50"/>
  <c r="P28" i="50"/>
  <c r="I28" i="50"/>
  <c r="B23" i="50"/>
  <c r="Q17" i="50"/>
  <c r="B17" i="50" s="1"/>
  <c r="I17" i="50" s="1"/>
  <c r="Q16" i="50"/>
  <c r="B16" i="50" s="1"/>
  <c r="I16" i="50" s="1"/>
  <c r="U15" i="50"/>
  <c r="Q15" i="50"/>
  <c r="B15" i="50"/>
  <c r="I15" i="50" s="1"/>
  <c r="B14" i="50"/>
  <c r="I14" i="50" s="1"/>
  <c r="P13" i="50"/>
  <c r="I13" i="50"/>
  <c r="B13" i="50"/>
  <c r="T11" i="50"/>
  <c r="B7" i="50"/>
  <c r="I104" i="49"/>
  <c r="I103" i="49"/>
  <c r="I102" i="49"/>
  <c r="I101" i="49"/>
  <c r="I100" i="49"/>
  <c r="I89" i="49"/>
  <c r="I88" i="49"/>
  <c r="I87" i="49"/>
  <c r="I86" i="49"/>
  <c r="B81" i="49"/>
  <c r="I75" i="49"/>
  <c r="B75" i="49"/>
  <c r="I74" i="49"/>
  <c r="I73" i="49"/>
  <c r="B68" i="49"/>
  <c r="I62" i="49"/>
  <c r="I61" i="49"/>
  <c r="B61" i="49"/>
  <c r="R60" i="49"/>
  <c r="B60" i="49" s="1"/>
  <c r="I60" i="49" s="1"/>
  <c r="I59" i="49"/>
  <c r="B54" i="49"/>
  <c r="R48" i="49"/>
  <c r="B48" i="49" s="1"/>
  <c r="I48" i="49" s="1"/>
  <c r="I47" i="49"/>
  <c r="B47" i="49"/>
  <c r="R46" i="49"/>
  <c r="B46" i="49" s="1"/>
  <c r="I46" i="49" s="1"/>
  <c r="R45" i="49"/>
  <c r="B45" i="49" s="1"/>
  <c r="I45" i="49" s="1"/>
  <c r="I44" i="49"/>
  <c r="B44" i="49"/>
  <c r="I43" i="49"/>
  <c r="I42" i="49"/>
  <c r="O36" i="49"/>
  <c r="R31" i="49"/>
  <c r="B31" i="49" s="1"/>
  <c r="I31" i="49" s="1"/>
  <c r="I30" i="49"/>
  <c r="B30" i="49"/>
  <c r="R29" i="49"/>
  <c r="B29" i="49" s="1"/>
  <c r="I29" i="49" s="1"/>
  <c r="I28" i="49"/>
  <c r="B23" i="49"/>
  <c r="Q17" i="49"/>
  <c r="I17" i="49"/>
  <c r="B17" i="49"/>
  <c r="Q16" i="49"/>
  <c r="B16" i="49" s="1"/>
  <c r="I16" i="49" s="1"/>
  <c r="B15" i="49"/>
  <c r="I15" i="49" s="1"/>
  <c r="B14" i="49"/>
  <c r="I14" i="49" s="1"/>
  <c r="P13" i="49"/>
  <c r="R13" i="49" s="1"/>
  <c r="B13" i="49" s="1"/>
  <c r="I13" i="49" s="1"/>
  <c r="I12" i="49"/>
  <c r="B7" i="49"/>
  <c r="Z27" i="48"/>
  <c r="B27" i="48" s="1"/>
  <c r="Z26" i="48"/>
  <c r="B26" i="48" s="1"/>
  <c r="Z25" i="48"/>
  <c r="B25" i="48"/>
  <c r="Z24" i="48"/>
  <c r="Z23" i="48"/>
  <c r="B23" i="48" s="1"/>
  <c r="Z22" i="48"/>
  <c r="B22" i="48" s="1"/>
  <c r="Z21" i="48"/>
  <c r="B21" i="48"/>
  <c r="Z20" i="48"/>
  <c r="B20" i="48" s="1"/>
  <c r="Z19" i="48"/>
  <c r="B19" i="48" s="1"/>
  <c r="Z18" i="48"/>
  <c r="B18" i="48" s="1"/>
  <c r="AB17" i="48"/>
  <c r="Z17" i="48"/>
  <c r="B17" i="48"/>
  <c r="Z16" i="48"/>
  <c r="B16" i="48"/>
  <c r="Z15" i="48"/>
  <c r="B15" i="48"/>
  <c r="Z14" i="48"/>
  <c r="B14" i="48"/>
  <c r="Z13" i="48"/>
  <c r="B13" i="48"/>
  <c r="N1" i="48"/>
  <c r="I362" i="47"/>
  <c r="B362" i="47"/>
  <c r="R361" i="47"/>
  <c r="B361" i="47" s="1"/>
  <c r="I361" i="47" s="1"/>
  <c r="R360" i="47"/>
  <c r="I360" i="47"/>
  <c r="B360" i="47"/>
  <c r="R359" i="47"/>
  <c r="B359" i="47" s="1"/>
  <c r="I359" i="47" s="1"/>
  <c r="R358" i="47"/>
  <c r="B358" i="47"/>
  <c r="I358" i="47" s="1"/>
  <c r="I357" i="47"/>
  <c r="B357" i="47"/>
  <c r="I356" i="47"/>
  <c r="B356" i="47"/>
  <c r="I355" i="47"/>
  <c r="B355" i="47"/>
  <c r="R354" i="47"/>
  <c r="B354" i="47"/>
  <c r="I354" i="47" s="1"/>
  <c r="B353" i="47"/>
  <c r="I353" i="47" s="1"/>
  <c r="B352" i="47"/>
  <c r="I352" i="47" s="1"/>
  <c r="B351" i="47"/>
  <c r="I351" i="47" s="1"/>
  <c r="B346" i="47"/>
  <c r="I340" i="47"/>
  <c r="B340" i="47"/>
  <c r="I339" i="47"/>
  <c r="B339" i="47"/>
  <c r="R338" i="47"/>
  <c r="B338" i="47" s="1"/>
  <c r="I338" i="47" s="1"/>
  <c r="R337" i="47"/>
  <c r="I337" i="47"/>
  <c r="B337" i="47"/>
  <c r="I336" i="47"/>
  <c r="B336" i="47"/>
  <c r="R335" i="47"/>
  <c r="B335" i="47" s="1"/>
  <c r="I335" i="47" s="1"/>
  <c r="B334" i="47"/>
  <c r="I334" i="47" s="1"/>
  <c r="B333" i="47"/>
  <c r="I333" i="47" s="1"/>
  <c r="B332" i="47"/>
  <c r="I332" i="47" s="1"/>
  <c r="R331" i="47"/>
  <c r="B331" i="47"/>
  <c r="I331" i="47" s="1"/>
  <c r="I330" i="47"/>
  <c r="B330" i="47"/>
  <c r="I329" i="47"/>
  <c r="B329" i="47"/>
  <c r="B324" i="47"/>
  <c r="B318" i="47"/>
  <c r="I318" i="47" s="1"/>
  <c r="B317" i="47"/>
  <c r="I317" i="47" s="1"/>
  <c r="B316" i="47"/>
  <c r="I316" i="47" s="1"/>
  <c r="B315" i="47"/>
  <c r="I315" i="47" s="1"/>
  <c r="B314" i="47"/>
  <c r="I314" i="47" s="1"/>
  <c r="B313" i="47"/>
  <c r="I313" i="47" s="1"/>
  <c r="B312" i="47"/>
  <c r="I312" i="47" s="1"/>
  <c r="B311" i="47"/>
  <c r="I311" i="47" s="1"/>
  <c r="B310" i="47"/>
  <c r="I310" i="47" s="1"/>
  <c r="B309" i="47"/>
  <c r="I309" i="47" s="1"/>
  <c r="B308" i="47"/>
  <c r="B303" i="47" s="1"/>
  <c r="R297" i="47"/>
  <c r="B297" i="47" s="1"/>
  <c r="I297" i="47" s="1"/>
  <c r="R296" i="47"/>
  <c r="I296" i="47"/>
  <c r="B296" i="47"/>
  <c r="I295" i="47"/>
  <c r="B295" i="47"/>
  <c r="B294" i="47"/>
  <c r="I294" i="47" s="1"/>
  <c r="P293" i="47"/>
  <c r="I293" i="47"/>
  <c r="P292" i="47"/>
  <c r="I292" i="47"/>
  <c r="S290" i="47"/>
  <c r="S291" i="47" s="1"/>
  <c r="T294" i="47" s="1"/>
  <c r="B287" i="47"/>
  <c r="R281" i="47"/>
  <c r="B281" i="47"/>
  <c r="I281" i="47" s="1"/>
  <c r="R280" i="47"/>
  <c r="B280" i="47" s="1"/>
  <c r="I280" i="47" s="1"/>
  <c r="R279" i="47"/>
  <c r="B279" i="47" s="1"/>
  <c r="I279" i="47" s="1"/>
  <c r="P278" i="47"/>
  <c r="I278" i="47"/>
  <c r="B278" i="47"/>
  <c r="I277" i="47"/>
  <c r="B277" i="47"/>
  <c r="I276" i="47"/>
  <c r="B276" i="47"/>
  <c r="B271" i="47"/>
  <c r="R265" i="47"/>
  <c r="I265" i="47"/>
  <c r="B265" i="47"/>
  <c r="R264" i="47"/>
  <c r="B264" i="47" s="1"/>
  <c r="I264" i="47" s="1"/>
  <c r="R263" i="47"/>
  <c r="B263" i="47"/>
  <c r="I263" i="47" s="1"/>
  <c r="R262" i="47"/>
  <c r="B262" i="47"/>
  <c r="I262" i="47" s="1"/>
  <c r="R261" i="47"/>
  <c r="B261" i="47" s="1"/>
  <c r="I261" i="47" s="1"/>
  <c r="P260" i="47"/>
  <c r="B260" i="47"/>
  <c r="I260" i="47" s="1"/>
  <c r="B259" i="47"/>
  <c r="B254" i="47" s="1"/>
  <c r="S248" i="47"/>
  <c r="B248" i="47" s="1"/>
  <c r="I248" i="47" s="1"/>
  <c r="S247" i="47"/>
  <c r="I247" i="47"/>
  <c r="B247" i="47"/>
  <c r="B242" i="47"/>
  <c r="P235" i="47" s="1"/>
  <c r="B236" i="47"/>
  <c r="I236" i="47" s="1"/>
  <c r="R222" i="47"/>
  <c r="I222" i="47"/>
  <c r="B222" i="47"/>
  <c r="R221" i="47"/>
  <c r="B221" i="47" s="1"/>
  <c r="I221" i="47" s="1"/>
  <c r="R220" i="47"/>
  <c r="B220" i="47"/>
  <c r="I220" i="47" s="1"/>
  <c r="R219" i="47"/>
  <c r="B219" i="47"/>
  <c r="I219" i="47" s="1"/>
  <c r="B218" i="47"/>
  <c r="I218" i="47" s="1"/>
  <c r="I217" i="47"/>
  <c r="B216" i="47"/>
  <c r="I216" i="47" s="1"/>
  <c r="B211" i="47"/>
  <c r="R205" i="47"/>
  <c r="B205" i="47" s="1"/>
  <c r="I205" i="47" s="1"/>
  <c r="R204" i="47"/>
  <c r="B204" i="47" s="1"/>
  <c r="I204" i="47" s="1"/>
  <c r="B203" i="47"/>
  <c r="I203" i="47" s="1"/>
  <c r="P201" i="47"/>
  <c r="I201" i="47"/>
  <c r="P200" i="47"/>
  <c r="I200" i="47"/>
  <c r="S197" i="47"/>
  <c r="T200" i="47" s="1"/>
  <c r="B202" i="47" s="1"/>
  <c r="I202" i="47" s="1"/>
  <c r="S196" i="47"/>
  <c r="B195" i="47"/>
  <c r="R189" i="47"/>
  <c r="B189" i="47" s="1"/>
  <c r="I189" i="47" s="1"/>
  <c r="R188" i="47"/>
  <c r="B188" i="47"/>
  <c r="I188" i="47" s="1"/>
  <c r="R187" i="47"/>
  <c r="B187" i="47" s="1"/>
  <c r="I187" i="47" s="1"/>
  <c r="P186" i="47"/>
  <c r="B186" i="47" s="1"/>
  <c r="I186" i="47" s="1"/>
  <c r="B185" i="47"/>
  <c r="I185" i="47" s="1"/>
  <c r="B184" i="47"/>
  <c r="B179" i="47" s="1"/>
  <c r="R173" i="47"/>
  <c r="B173" i="47" s="1"/>
  <c r="I173" i="47" s="1"/>
  <c r="R172" i="47"/>
  <c r="I172" i="47"/>
  <c r="B172" i="47"/>
  <c r="R171" i="47"/>
  <c r="B171" i="47" s="1"/>
  <c r="I171" i="47" s="1"/>
  <c r="R170" i="47"/>
  <c r="B170" i="47" s="1"/>
  <c r="I170" i="47" s="1"/>
  <c r="R169" i="47"/>
  <c r="B169" i="47"/>
  <c r="I169" i="47" s="1"/>
  <c r="B168" i="47"/>
  <c r="I168" i="47" s="1"/>
  <c r="I167" i="47"/>
  <c r="B167" i="47"/>
  <c r="B162" i="47"/>
  <c r="I156" i="47"/>
  <c r="B156" i="47"/>
  <c r="R155" i="47"/>
  <c r="B155" i="47"/>
  <c r="I155" i="47" s="1"/>
  <c r="P154" i="47"/>
  <c r="B154" i="47" s="1"/>
  <c r="I154" i="47" s="1"/>
  <c r="P152" i="47"/>
  <c r="I152" i="47"/>
  <c r="B152" i="47"/>
  <c r="B147" i="47" s="1"/>
  <c r="R141" i="47"/>
  <c r="I141" i="47"/>
  <c r="B141" i="47"/>
  <c r="R140" i="47"/>
  <c r="B140" i="47" s="1"/>
  <c r="I140" i="47" s="1"/>
  <c r="P139" i="47"/>
  <c r="B139" i="47"/>
  <c r="I139" i="47" s="1"/>
  <c r="P138" i="47"/>
  <c r="B138" i="47"/>
  <c r="B133" i="47" s="1"/>
  <c r="B109" i="47" s="1"/>
  <c r="I109" i="47" s="1"/>
  <c r="R127" i="47"/>
  <c r="B127" i="47" s="1"/>
  <c r="I127" i="47" s="1"/>
  <c r="R126" i="47"/>
  <c r="I126" i="47"/>
  <c r="B126" i="47"/>
  <c r="R125" i="47"/>
  <c r="B125" i="47" s="1"/>
  <c r="I125" i="47" s="1"/>
  <c r="R124" i="47"/>
  <c r="B124" i="47"/>
  <c r="I124" i="47" s="1"/>
  <c r="R112" i="47"/>
  <c r="B112" i="47"/>
  <c r="I112" i="47" s="1"/>
  <c r="I111" i="47"/>
  <c r="R97" i="47"/>
  <c r="B97" i="47" s="1"/>
  <c r="I97" i="47" s="1"/>
  <c r="I84" i="47"/>
  <c r="I83" i="47"/>
  <c r="I82" i="47"/>
  <c r="B77" i="47"/>
  <c r="B69" i="47" s="1"/>
  <c r="I69" i="47" s="1"/>
  <c r="R71" i="47"/>
  <c r="B71" i="47" s="1"/>
  <c r="I71" i="47"/>
  <c r="R57" i="47"/>
  <c r="B57" i="47"/>
  <c r="I57" i="47" s="1"/>
  <c r="R56" i="47"/>
  <c r="B56" i="47" s="1"/>
  <c r="I56" i="47"/>
  <c r="R55" i="47"/>
  <c r="I55" i="47"/>
  <c r="B55" i="47"/>
  <c r="B50" i="47" s="1"/>
  <c r="R44" i="47"/>
  <c r="B44" i="47"/>
  <c r="I44" i="47" s="1"/>
  <c r="B42" i="47"/>
  <c r="I42" i="47" s="1"/>
  <c r="R30" i="47"/>
  <c r="B30" i="47" s="1"/>
  <c r="I30" i="47" s="1"/>
  <c r="R29" i="47"/>
  <c r="B29" i="47"/>
  <c r="I29" i="47" s="1"/>
  <c r="R28" i="47"/>
  <c r="I28" i="47"/>
  <c r="B28" i="47"/>
  <c r="I27" i="47"/>
  <c r="B27" i="47"/>
  <c r="R15" i="47"/>
  <c r="B15" i="47"/>
  <c r="I15" i="47" s="1"/>
  <c r="B7" i="47"/>
  <c r="J57" i="46"/>
  <c r="B57" i="46"/>
  <c r="B56" i="46"/>
  <c r="J56" i="46" s="1"/>
  <c r="J55" i="46"/>
  <c r="B55" i="46"/>
  <c r="S54" i="46"/>
  <c r="B54" i="46" s="1"/>
  <c r="J54" i="46" s="1"/>
  <c r="S53" i="46"/>
  <c r="B53" i="46" s="1"/>
  <c r="J53" i="46" s="1"/>
  <c r="S52" i="46"/>
  <c r="B52" i="46"/>
  <c r="J52" i="46" s="1"/>
  <c r="B51" i="46"/>
  <c r="J51" i="46" s="1"/>
  <c r="S50" i="46"/>
  <c r="B50" i="46" s="1"/>
  <c r="J50" i="46" s="1"/>
  <c r="J49" i="46"/>
  <c r="B49" i="46"/>
  <c r="J48" i="46"/>
  <c r="B48" i="46"/>
  <c r="B43" i="46"/>
  <c r="B12" i="46" s="1"/>
  <c r="S37" i="46"/>
  <c r="B37" i="46" s="1"/>
  <c r="J37" i="46" s="1"/>
  <c r="S36" i="46"/>
  <c r="B36" i="46"/>
  <c r="J36" i="46" s="1"/>
  <c r="S35" i="46"/>
  <c r="J35" i="46"/>
  <c r="B35" i="46"/>
  <c r="B34" i="46"/>
  <c r="J34" i="46" s="1"/>
  <c r="J33" i="46"/>
  <c r="B33" i="46"/>
  <c r="S32" i="46"/>
  <c r="B32" i="46" s="1"/>
  <c r="J32" i="46" s="1"/>
  <c r="B31" i="46"/>
  <c r="J31" i="46" s="1"/>
  <c r="B30" i="46"/>
  <c r="J30" i="46" s="1"/>
  <c r="B19" i="46"/>
  <c r="S18" i="46"/>
  <c r="B18" i="46" s="1"/>
  <c r="J18" i="46" s="1"/>
  <c r="B17" i="46"/>
  <c r="J17" i="46" s="1"/>
  <c r="S16" i="46"/>
  <c r="J16" i="46"/>
  <c r="B16" i="46"/>
  <c r="J15" i="46"/>
  <c r="B15" i="46"/>
  <c r="J14" i="46"/>
  <c r="B14" i="46"/>
  <c r="I47" i="45"/>
  <c r="I46" i="45"/>
  <c r="B45" i="45"/>
  <c r="I45" i="45" s="1"/>
  <c r="R34" i="45"/>
  <c r="B34" i="45"/>
  <c r="I34" i="45" s="1"/>
  <c r="R33" i="45"/>
  <c r="B33" i="45" s="1"/>
  <c r="I33" i="45" s="1"/>
  <c r="R32" i="45"/>
  <c r="B32" i="45" s="1"/>
  <c r="I32" i="45" s="1"/>
  <c r="R31" i="45"/>
  <c r="I31" i="45"/>
  <c r="B31" i="45"/>
  <c r="I30" i="45"/>
  <c r="B30" i="45"/>
  <c r="I29" i="45"/>
  <c r="P28" i="45"/>
  <c r="I28" i="45"/>
  <c r="B23" i="45"/>
  <c r="Q17" i="45"/>
  <c r="B17" i="45"/>
  <c r="I17" i="45" s="1"/>
  <c r="Q16" i="45"/>
  <c r="B16" i="45" s="1"/>
  <c r="I16" i="45" s="1"/>
  <c r="Q15" i="45"/>
  <c r="I15" i="45"/>
  <c r="B15" i="45"/>
  <c r="P13" i="45"/>
  <c r="B13" i="45"/>
  <c r="I13" i="45" s="1"/>
  <c r="T11" i="45"/>
  <c r="T12" i="45" s="1"/>
  <c r="U15" i="45" s="1"/>
  <c r="B14" i="45" s="1"/>
  <c r="I14" i="45" s="1"/>
  <c r="I104" i="44"/>
  <c r="I103" i="44"/>
  <c r="I102" i="44"/>
  <c r="I101" i="44"/>
  <c r="I100" i="44"/>
  <c r="I89" i="44"/>
  <c r="I88" i="44"/>
  <c r="I87" i="44"/>
  <c r="I86" i="44"/>
  <c r="B81" i="44"/>
  <c r="I75" i="44"/>
  <c r="I74" i="44"/>
  <c r="I73" i="44"/>
  <c r="B68" i="44"/>
  <c r="B43" i="44" s="1"/>
  <c r="I43" i="44" s="1"/>
  <c r="I62" i="44"/>
  <c r="I61" i="44"/>
  <c r="B61" i="44"/>
  <c r="R60" i="44"/>
  <c r="B60" i="44" s="1"/>
  <c r="I60" i="44" s="1"/>
  <c r="I59" i="44"/>
  <c r="B54" i="44"/>
  <c r="R48" i="44"/>
  <c r="B48" i="44" s="1"/>
  <c r="I48" i="44"/>
  <c r="I47" i="44"/>
  <c r="B47" i="44"/>
  <c r="R46" i="44"/>
  <c r="B46" i="44"/>
  <c r="I46" i="44" s="1"/>
  <c r="R45" i="44"/>
  <c r="B45" i="44" s="1"/>
  <c r="I45" i="44" s="1"/>
  <c r="I44" i="44"/>
  <c r="B44" i="44"/>
  <c r="I42" i="44"/>
  <c r="B37" i="44"/>
  <c r="T36" i="44"/>
  <c r="O36" i="44"/>
  <c r="R110" i="47" s="1"/>
  <c r="T110" i="47" s="1"/>
  <c r="B110" i="47" s="1"/>
  <c r="I110" i="47" s="1"/>
  <c r="R31" i="44"/>
  <c r="B31" i="44" s="1"/>
  <c r="I31" i="44" s="1"/>
  <c r="B30" i="44"/>
  <c r="I30" i="44" s="1"/>
  <c r="R29" i="44"/>
  <c r="B29" i="44" s="1"/>
  <c r="I29" i="44"/>
  <c r="I28" i="44"/>
  <c r="B23" i="44"/>
  <c r="Q17" i="44"/>
  <c r="B17" i="44"/>
  <c r="I17" i="44" s="1"/>
  <c r="Q16" i="44"/>
  <c r="B16" i="44" s="1"/>
  <c r="I16" i="44"/>
  <c r="I15" i="44"/>
  <c r="B15" i="44"/>
  <c r="I14" i="44"/>
  <c r="P13" i="44"/>
  <c r="R13" i="44" s="1"/>
  <c r="B13" i="44" s="1"/>
  <c r="I13" i="44" s="1"/>
  <c r="I12" i="44"/>
  <c r="B7" i="44"/>
  <c r="B28" i="43"/>
  <c r="Z27" i="43"/>
  <c r="B27" i="43"/>
  <c r="Z26" i="43"/>
  <c r="B26" i="43"/>
  <c r="Z25" i="43"/>
  <c r="Z24" i="43"/>
  <c r="Z23" i="43"/>
  <c r="B24" i="43" s="1"/>
  <c r="B23" i="43"/>
  <c r="Z22" i="43"/>
  <c r="B22" i="43"/>
  <c r="Z21" i="43"/>
  <c r="B21" i="43"/>
  <c r="Z20" i="43"/>
  <c r="B20" i="43" s="1"/>
  <c r="Z19" i="43"/>
  <c r="B19" i="43"/>
  <c r="Z18" i="43"/>
  <c r="B18" i="43"/>
  <c r="B12" i="45" s="1"/>
  <c r="B7" i="45" s="1"/>
  <c r="AB17" i="43"/>
  <c r="Z17" i="43"/>
  <c r="B17" i="43" s="1"/>
  <c r="Z16" i="43"/>
  <c r="B16" i="43" s="1"/>
  <c r="Z15" i="43"/>
  <c r="B15" i="43" s="1"/>
  <c r="Z14" i="43"/>
  <c r="B14" i="43" s="1"/>
  <c r="Z13" i="43"/>
  <c r="B13" i="43" s="1"/>
  <c r="N1" i="43"/>
  <c r="T70" i="42"/>
  <c r="J70" i="42"/>
  <c r="B70" i="42"/>
  <c r="T69" i="42"/>
  <c r="B69" i="42" s="1"/>
  <c r="J69" i="42" s="1"/>
  <c r="T68" i="42"/>
  <c r="J68" i="42"/>
  <c r="B68" i="42"/>
  <c r="T67" i="42"/>
  <c r="B67" i="42"/>
  <c r="J67" i="42" s="1"/>
  <c r="T66" i="42"/>
  <c r="J66" i="42"/>
  <c r="B66" i="42"/>
  <c r="T65" i="42"/>
  <c r="B65" i="42"/>
  <c r="J65" i="42" s="1"/>
  <c r="T64" i="42"/>
  <c r="B64" i="42" s="1"/>
  <c r="J64" i="42" s="1"/>
  <c r="T63" i="42"/>
  <c r="B63" i="42" s="1"/>
  <c r="J63" i="42" s="1"/>
  <c r="T62" i="42"/>
  <c r="J62" i="42"/>
  <c r="B62" i="42"/>
  <c r="T61" i="42"/>
  <c r="B61" i="42" s="1"/>
  <c r="J61" i="42" s="1"/>
  <c r="T60" i="42"/>
  <c r="B60" i="42" s="1"/>
  <c r="J60" i="42" s="1"/>
  <c r="T59" i="42"/>
  <c r="B59" i="42"/>
  <c r="J59" i="42" s="1"/>
  <c r="T58" i="42"/>
  <c r="J58" i="42"/>
  <c r="B58" i="42"/>
  <c r="T57" i="42"/>
  <c r="B57" i="42"/>
  <c r="J57" i="42" s="1"/>
  <c r="J56" i="42"/>
  <c r="J45" i="42"/>
  <c r="J44" i="42"/>
  <c r="J43" i="42"/>
  <c r="J42" i="42"/>
  <c r="J41" i="42"/>
  <c r="J40" i="42"/>
  <c r="J39" i="42"/>
  <c r="J38" i="42"/>
  <c r="J37" i="42"/>
  <c r="J36" i="42"/>
  <c r="J35" i="42"/>
  <c r="B35" i="42"/>
  <c r="J34" i="42"/>
  <c r="B34" i="42"/>
  <c r="J33" i="42"/>
  <c r="B33" i="42"/>
  <c r="J32" i="42"/>
  <c r="J31" i="42"/>
  <c r="J30" i="42"/>
  <c r="S19" i="42"/>
  <c r="B19" i="42" s="1"/>
  <c r="J19" i="42" s="1"/>
  <c r="S18" i="42"/>
  <c r="B18" i="42"/>
  <c r="J18" i="42" s="1"/>
  <c r="S17" i="42"/>
  <c r="B17" i="42" s="1"/>
  <c r="J17" i="42" s="1"/>
  <c r="S16" i="42"/>
  <c r="B16" i="42"/>
  <c r="J16" i="42" s="1"/>
  <c r="S15" i="42"/>
  <c r="B15" i="42" s="1"/>
  <c r="J15" i="42"/>
  <c r="S14" i="42"/>
  <c r="B14" i="42" s="1"/>
  <c r="J14" i="42" s="1"/>
  <c r="S13" i="42"/>
  <c r="J13" i="42"/>
  <c r="B13" i="42"/>
  <c r="J12" i="42"/>
  <c r="T50" i="41"/>
  <c r="B50" i="41" s="1"/>
  <c r="J50" i="41" s="1"/>
  <c r="T49" i="41"/>
  <c r="B49" i="41"/>
  <c r="J49" i="41" s="1"/>
  <c r="T48" i="41"/>
  <c r="B48" i="41" s="1"/>
  <c r="J48" i="41" s="1"/>
  <c r="T47" i="41"/>
  <c r="B47" i="41" s="1"/>
  <c r="J47" i="41" s="1"/>
  <c r="T46" i="41"/>
  <c r="J46" i="41"/>
  <c r="B46" i="41"/>
  <c r="T45" i="41"/>
  <c r="B45" i="41" s="1"/>
  <c r="J45" i="41" s="1"/>
  <c r="T44" i="41"/>
  <c r="B44" i="41" s="1"/>
  <c r="J44" i="41" s="1"/>
  <c r="T43" i="41"/>
  <c r="B43" i="41"/>
  <c r="J43" i="41" s="1"/>
  <c r="T42" i="41"/>
  <c r="J42" i="41"/>
  <c r="B42" i="41"/>
  <c r="T41" i="41"/>
  <c r="B41" i="41"/>
  <c r="J41" i="41" s="1"/>
  <c r="T40" i="41"/>
  <c r="B40" i="41" s="1"/>
  <c r="J40" i="41"/>
  <c r="T39" i="41"/>
  <c r="B39" i="41" s="1"/>
  <c r="J39" i="41" s="1"/>
  <c r="J38" i="41"/>
  <c r="J27" i="41"/>
  <c r="J26" i="41"/>
  <c r="J25" i="41"/>
  <c r="J24" i="41"/>
  <c r="J23" i="41"/>
  <c r="J22" i="41"/>
  <c r="J21" i="41"/>
  <c r="J20" i="41"/>
  <c r="J19" i="41"/>
  <c r="J18" i="41"/>
  <c r="J17" i="41"/>
  <c r="B17" i="41"/>
  <c r="J16" i="41"/>
  <c r="B16" i="41"/>
  <c r="J15" i="41"/>
  <c r="B15" i="41"/>
  <c r="J14" i="41"/>
  <c r="J13" i="41"/>
  <c r="J12" i="41"/>
  <c r="E119" i="39"/>
  <c r="E118" i="39"/>
  <c r="E117" i="39"/>
  <c r="E116" i="39"/>
  <c r="E115" i="39"/>
  <c r="A115" i="39"/>
  <c r="O114" i="39"/>
  <c r="E114" i="39"/>
  <c r="A114" i="39"/>
  <c r="O113" i="39"/>
  <c r="E113" i="39"/>
  <c r="A113" i="39"/>
  <c r="G112" i="39"/>
  <c r="E112" i="39"/>
  <c r="G111" i="39"/>
  <c r="E111" i="39"/>
  <c r="O110" i="39"/>
  <c r="F110" i="39"/>
  <c r="D110" i="39"/>
  <c r="B110" i="39"/>
  <c r="A110" i="39"/>
  <c r="J99" i="39"/>
  <c r="O98" i="39"/>
  <c r="O119" i="39" s="1"/>
  <c r="G98" i="39"/>
  <c r="G119" i="39" s="1"/>
  <c r="F98" i="39"/>
  <c r="F119" i="39" s="1"/>
  <c r="D98" i="39"/>
  <c r="D119" i="39" s="1"/>
  <c r="B98" i="39"/>
  <c r="A98" i="39"/>
  <c r="A119" i="39" s="1"/>
  <c r="J87" i="39"/>
  <c r="O86" i="39"/>
  <c r="O118" i="39" s="1"/>
  <c r="G86" i="39"/>
  <c r="G118" i="39" s="1"/>
  <c r="F86" i="39"/>
  <c r="F118" i="39" s="1"/>
  <c r="D86" i="39"/>
  <c r="D118" i="39" s="1"/>
  <c r="B86" i="39"/>
  <c r="A86" i="39"/>
  <c r="A118" i="39" s="1"/>
  <c r="J75" i="39"/>
  <c r="J74" i="39"/>
  <c r="J73" i="39"/>
  <c r="J72" i="39"/>
  <c r="J71" i="39"/>
  <c r="O70" i="39"/>
  <c r="O117" i="39" s="1"/>
  <c r="G70" i="39"/>
  <c r="G117" i="39" s="1"/>
  <c r="F70" i="39"/>
  <c r="F117" i="39" s="1"/>
  <c r="D70" i="39"/>
  <c r="D117" i="39" s="1"/>
  <c r="B70" i="39"/>
  <c r="A70" i="39"/>
  <c r="A117" i="39" s="1"/>
  <c r="J59" i="39"/>
  <c r="J58" i="39"/>
  <c r="J57" i="39"/>
  <c r="J56" i="39"/>
  <c r="O55" i="39"/>
  <c r="O116" i="39" s="1"/>
  <c r="G55" i="39"/>
  <c r="G116" i="39" s="1"/>
  <c r="F55" i="39"/>
  <c r="F116" i="39" s="1"/>
  <c r="D55" i="39"/>
  <c r="D116" i="39" s="1"/>
  <c r="B55" i="39"/>
  <c r="A55" i="39"/>
  <c r="A116" i="39" s="1"/>
  <c r="J44" i="39"/>
  <c r="J43" i="39"/>
  <c r="J42" i="39"/>
  <c r="J41" i="39"/>
  <c r="J40" i="39"/>
  <c r="J39" i="39"/>
  <c r="J38" i="39"/>
  <c r="O37" i="39"/>
  <c r="O115" i="39" s="1"/>
  <c r="G37" i="39"/>
  <c r="G115" i="39" s="1"/>
  <c r="F37" i="39"/>
  <c r="F115" i="39" s="1"/>
  <c r="D37" i="39"/>
  <c r="B37" i="39"/>
  <c r="J26" i="39"/>
  <c r="J25" i="39"/>
  <c r="O24" i="39"/>
  <c r="O112" i="39" s="1"/>
  <c r="F24" i="39"/>
  <c r="F112" i="39" s="1"/>
  <c r="D24" i="39"/>
  <c r="D112" i="39" s="1"/>
  <c r="B24" i="39"/>
  <c r="A24" i="39"/>
  <c r="A112" i="39" s="1"/>
  <c r="J13" i="39"/>
  <c r="O12" i="39"/>
  <c r="O111" i="39" s="1"/>
  <c r="F12" i="39"/>
  <c r="F111" i="39" s="1"/>
  <c r="D12" i="39"/>
  <c r="D111" i="39" s="1"/>
  <c r="B12" i="39"/>
  <c r="A12" i="39"/>
  <c r="A111" i="39" s="1"/>
  <c r="I22" i="36"/>
  <c r="B22" i="36"/>
  <c r="B7" i="46" l="1"/>
  <c r="B25" i="43" s="1"/>
  <c r="J12" i="46"/>
  <c r="I167" i="52"/>
  <c r="B162" i="52"/>
  <c r="I152" i="52"/>
  <c r="B147" i="52"/>
  <c r="B234" i="47"/>
  <c r="I234" i="47" s="1"/>
  <c r="P234" i="47"/>
  <c r="P233" i="47" s="1"/>
  <c r="B233" i="47" s="1"/>
  <c r="N33" i="43"/>
  <c r="I138" i="47"/>
  <c r="I184" i="47"/>
  <c r="I259" i="47"/>
  <c r="I308" i="47"/>
  <c r="B36" i="51"/>
  <c r="J36" i="51" s="1"/>
  <c r="J48" i="51"/>
  <c r="B242" i="52"/>
  <c r="B235" i="52" s="1"/>
  <c r="I235" i="52" s="1"/>
  <c r="B259" i="52"/>
  <c r="B235" i="47"/>
  <c r="I235" i="47" s="1"/>
  <c r="B12" i="51"/>
  <c r="B34" i="51"/>
  <c r="J34" i="51" s="1"/>
  <c r="B40" i="45"/>
  <c r="B211" i="52"/>
  <c r="B324" i="52"/>
  <c r="P139" i="52"/>
  <c r="J12" i="51" l="1"/>
  <c r="B7" i="51"/>
  <c r="B24" i="48" s="1"/>
  <c r="N33" i="48" s="1"/>
  <c r="I259" i="52"/>
  <c r="B254" i="52"/>
  <c r="B234" i="52" s="1"/>
  <c r="I234" i="52" s="1"/>
  <c r="I233" i="47"/>
  <c r="B228" i="47"/>
  <c r="P153" i="47" s="1"/>
  <c r="B153" i="47" s="1"/>
  <c r="I153" i="47" s="1"/>
  <c r="B139" i="52"/>
  <c r="I139" i="52" s="1"/>
  <c r="P138" i="52"/>
  <c r="B138" i="52" s="1"/>
  <c r="B133" i="52" l="1"/>
  <c r="B109" i="52" s="1"/>
  <c r="I109" i="52" s="1"/>
  <c r="I138" i="52"/>
  <c r="B54" i="38" l="1"/>
  <c r="I54" i="38" s="1"/>
  <c r="B53" i="38"/>
  <c r="I53" i="38" s="1"/>
  <c r="I52" i="38"/>
  <c r="F52" i="38"/>
  <c r="C52" i="38"/>
  <c r="B52" i="38"/>
  <c r="A52" i="38"/>
  <c r="I41" i="38"/>
  <c r="B41" i="38"/>
  <c r="B40" i="38"/>
  <c r="I40" i="38" s="1"/>
  <c r="F39" i="38"/>
  <c r="C39" i="38"/>
  <c r="B39" i="38"/>
  <c r="I39" i="38" s="1"/>
  <c r="A39" i="38"/>
  <c r="B28" i="38"/>
  <c r="I28" i="38" s="1"/>
  <c r="I27" i="38"/>
  <c r="B27" i="38"/>
  <c r="F26" i="38"/>
  <c r="C26" i="38"/>
  <c r="B26" i="38"/>
  <c r="I26" i="38" s="1"/>
  <c r="A26" i="38"/>
  <c r="B15" i="38"/>
  <c r="I15" i="38" s="1"/>
  <c r="I12" i="38"/>
  <c r="F12" i="38"/>
  <c r="C12" i="38"/>
  <c r="B12" i="38"/>
  <c r="A12" i="38"/>
  <c r="Q8" i="38"/>
  <c r="Q7" i="38"/>
  <c r="B14" i="38" s="1"/>
  <c r="I14" i="38" s="1"/>
  <c r="Q6" i="38"/>
  <c r="B13" i="38" s="1"/>
  <c r="I13" i="38" s="1"/>
  <c r="Q5" i="38"/>
  <c r="I200" i="37"/>
  <c r="I199" i="37"/>
  <c r="F199" i="37"/>
  <c r="C199" i="37"/>
  <c r="B199" i="37"/>
  <c r="A199" i="37"/>
  <c r="B188" i="37"/>
  <c r="I188" i="37" s="1"/>
  <c r="B187" i="37"/>
  <c r="I187" i="37" s="1"/>
  <c r="I186" i="37"/>
  <c r="B186" i="37"/>
  <c r="B185" i="37"/>
  <c r="I185" i="37" s="1"/>
  <c r="B184" i="37"/>
  <c r="I184" i="37" s="1"/>
  <c r="I182" i="37"/>
  <c r="B182" i="37"/>
  <c r="I181" i="37"/>
  <c r="I180" i="37"/>
  <c r="F180" i="37"/>
  <c r="C180" i="37"/>
  <c r="B180" i="37"/>
  <c r="A180" i="37"/>
  <c r="I169" i="37"/>
  <c r="B169" i="37"/>
  <c r="B168" i="37"/>
  <c r="I168" i="37" s="1"/>
  <c r="B167" i="37"/>
  <c r="I167" i="37" s="1"/>
  <c r="B166" i="37"/>
  <c r="I166" i="37" s="1"/>
  <c r="B163" i="37"/>
  <c r="I163" i="37" s="1"/>
  <c r="I162" i="37"/>
  <c r="I161" i="37"/>
  <c r="F161" i="37"/>
  <c r="C161" i="37"/>
  <c r="B161" i="37"/>
  <c r="A161" i="37"/>
  <c r="B150" i="37"/>
  <c r="I150" i="37" s="1"/>
  <c r="B149" i="37"/>
  <c r="I149" i="37" s="1"/>
  <c r="I148" i="37"/>
  <c r="B148" i="37"/>
  <c r="B147" i="37"/>
  <c r="I147" i="37" s="1"/>
  <c r="B146" i="37"/>
  <c r="I146" i="37" s="1"/>
  <c r="I144" i="37"/>
  <c r="B144" i="37"/>
  <c r="I143" i="37"/>
  <c r="I142" i="37"/>
  <c r="F142" i="37"/>
  <c r="C142" i="37"/>
  <c r="B142" i="37"/>
  <c r="A142" i="37"/>
  <c r="B130" i="37"/>
  <c r="I128" i="37"/>
  <c r="F128" i="37"/>
  <c r="C128" i="37"/>
  <c r="B128" i="37"/>
  <c r="A128" i="37"/>
  <c r="B116" i="37"/>
  <c r="I116" i="37" s="1"/>
  <c r="B115" i="37"/>
  <c r="I113" i="37"/>
  <c r="F113" i="37"/>
  <c r="C113" i="37"/>
  <c r="B113" i="37"/>
  <c r="A113" i="37"/>
  <c r="B101" i="37"/>
  <c r="I101" i="37" s="1"/>
  <c r="B100" i="37"/>
  <c r="I98" i="37"/>
  <c r="F98" i="37"/>
  <c r="C98" i="37"/>
  <c r="B98" i="37"/>
  <c r="A98" i="37"/>
  <c r="I87" i="37"/>
  <c r="I86" i="37"/>
  <c r="I85" i="37"/>
  <c r="I84" i="37"/>
  <c r="I83" i="37"/>
  <c r="I82" i="37"/>
  <c r="I81" i="37"/>
  <c r="I80" i="37"/>
  <c r="F80" i="37"/>
  <c r="C80" i="37"/>
  <c r="B80" i="37"/>
  <c r="A80" i="37"/>
  <c r="I69" i="37"/>
  <c r="B69" i="37"/>
  <c r="F68" i="37"/>
  <c r="C68" i="37"/>
  <c r="B68" i="37"/>
  <c r="I68" i="37" s="1"/>
  <c r="A68" i="37"/>
  <c r="B57" i="37"/>
  <c r="I57" i="37" s="1"/>
  <c r="I56" i="37"/>
  <c r="B56" i="37"/>
  <c r="I55" i="37"/>
  <c r="I54" i="37"/>
  <c r="F54" i="37"/>
  <c r="C54" i="37"/>
  <c r="B54" i="37"/>
  <c r="A54" i="37"/>
  <c r="B42" i="37"/>
  <c r="I42" i="37" s="1"/>
  <c r="I41" i="37"/>
  <c r="B41" i="37"/>
  <c r="I40" i="37"/>
  <c r="I39" i="37"/>
  <c r="F39" i="37"/>
  <c r="C39" i="37"/>
  <c r="B39" i="37"/>
  <c r="A39" i="37"/>
  <c r="I28" i="37"/>
  <c r="I27" i="37"/>
  <c r="I26" i="37"/>
  <c r="I25" i="37"/>
  <c r="F25" i="37"/>
  <c r="C25" i="37"/>
  <c r="B25" i="37"/>
  <c r="A25" i="37"/>
  <c r="I14" i="37"/>
  <c r="I13" i="37"/>
  <c r="I12" i="37"/>
  <c r="F12" i="37"/>
  <c r="C12" i="37"/>
  <c r="B12" i="37"/>
  <c r="A12" i="37"/>
  <c r="P7" i="37"/>
  <c r="B183" i="37" s="1"/>
  <c r="I183" i="37" s="1"/>
  <c r="I46" i="36"/>
  <c r="F45" i="36"/>
  <c r="C45" i="36"/>
  <c r="B45" i="36"/>
  <c r="I45" i="36" s="1"/>
  <c r="A45" i="36"/>
  <c r="I34" i="36"/>
  <c r="F33" i="36"/>
  <c r="C33" i="36"/>
  <c r="B33" i="36"/>
  <c r="I33" i="36" s="1"/>
  <c r="A33" i="36"/>
  <c r="B20" i="36"/>
  <c r="I20" i="36" s="1"/>
  <c r="I19" i="36"/>
  <c r="B19" i="36"/>
  <c r="I18" i="36"/>
  <c r="I17" i="36"/>
  <c r="B16" i="36"/>
  <c r="I16" i="36" s="1"/>
  <c r="I15" i="36"/>
  <c r="B14" i="36"/>
  <c r="F12" i="36"/>
  <c r="C12" i="36"/>
  <c r="B12" i="36"/>
  <c r="I12" i="36" s="1"/>
  <c r="A12" i="36"/>
  <c r="Q7" i="36"/>
  <c r="B21" i="36" s="1"/>
  <c r="I21" i="36" s="1"/>
  <c r="Q6" i="36"/>
  <c r="B13" i="36" s="1"/>
  <c r="I13" i="36" s="1"/>
  <c r="Q5" i="36"/>
  <c r="B43" i="37" l="1"/>
  <c r="I43" i="37" s="1"/>
  <c r="B102" i="37"/>
  <c r="I102" i="37" s="1"/>
  <c r="B164" i="37"/>
  <c r="I164" i="37" s="1"/>
  <c r="B117" i="37"/>
  <c r="I117" i="37" s="1"/>
  <c r="B131" i="37"/>
  <c r="I131" i="37" s="1"/>
  <c r="B165" i="37"/>
  <c r="I165" i="37" s="1"/>
  <c r="B145" i="37"/>
  <c r="I145" i="37" s="1"/>
  <c r="I35" i="35" l="1"/>
  <c r="I34" i="35"/>
  <c r="I33" i="35"/>
  <c r="B32" i="35"/>
  <c r="B31" i="35"/>
  <c r="A30" i="35"/>
  <c r="I19" i="35"/>
  <c r="I17" i="35"/>
  <c r="B16" i="35"/>
  <c r="B15" i="35"/>
  <c r="A14" i="35"/>
  <c r="N1" i="35"/>
  <c r="B124" i="31" l="1"/>
  <c r="B123" i="31"/>
  <c r="B122" i="31"/>
  <c r="B121" i="31"/>
  <c r="B120" i="31"/>
  <c r="B119" i="31"/>
  <c r="B118" i="31"/>
  <c r="B117" i="31"/>
  <c r="B105" i="31"/>
  <c r="B104" i="31"/>
  <c r="B103" i="31"/>
  <c r="B102" i="31"/>
  <c r="B101" i="31"/>
  <c r="B100" i="31"/>
  <c r="B87" i="31"/>
  <c r="B86" i="31"/>
  <c r="B85" i="31"/>
  <c r="B73" i="31"/>
  <c r="B72" i="31"/>
  <c r="B71" i="31"/>
  <c r="B58" i="29" l="1"/>
  <c r="B59" i="29"/>
  <c r="B60" i="29"/>
  <c r="B61" i="29"/>
  <c r="I61" i="29" s="1"/>
  <c r="B62" i="29"/>
  <c r="B63" i="29"/>
  <c r="I63" i="29" s="1"/>
  <c r="B64" i="29"/>
  <c r="I64" i="29" s="1"/>
  <c r="B65" i="29"/>
  <c r="I65" i="29" s="1"/>
  <c r="B57" i="29"/>
  <c r="I62" i="29"/>
  <c r="I60" i="29"/>
  <c r="I59" i="29"/>
  <c r="I58" i="29"/>
  <c r="I57" i="29"/>
  <c r="B25" i="29"/>
  <c r="B23" i="29"/>
  <c r="B22" i="29"/>
  <c r="B21" i="29"/>
  <c r="B20" i="29"/>
  <c r="I93" i="33" l="1"/>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39" i="29" l="1"/>
  <c r="I138" i="29"/>
  <c r="I137" i="29"/>
  <c r="I136" i="29"/>
  <c r="I124" i="29"/>
  <c r="I123" i="29"/>
  <c r="I122" i="29"/>
  <c r="I121" i="29"/>
  <c r="I109" i="29"/>
  <c r="I108" i="29"/>
  <c r="I107" i="29"/>
  <c r="I106" i="29"/>
  <c r="I105" i="29"/>
  <c r="I91" i="29"/>
  <c r="I92" i="29"/>
  <c r="I93" i="29"/>
  <c r="I79" i="29"/>
  <c r="I78" i="29"/>
  <c r="I77" i="29"/>
  <c r="I45" i="29"/>
  <c r="I44" i="29"/>
  <c r="I43" i="29"/>
  <c r="I42" i="29"/>
  <c r="I13" i="29"/>
  <c r="I14" i="29"/>
  <c r="I15" i="29"/>
  <c r="I16" i="29"/>
  <c r="I17" i="29"/>
  <c r="I18" i="29"/>
  <c r="I24" i="29"/>
  <c r="I26" i="29"/>
  <c r="I27" i="29"/>
  <c r="I28" i="29"/>
  <c r="I29" i="29"/>
  <c r="I30" i="29"/>
  <c r="I19" i="29" l="1"/>
  <c r="I25" i="29" l="1"/>
  <c r="I23" i="29"/>
  <c r="I22" i="29"/>
  <c r="I21" i="29"/>
  <c r="I20"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tc={37159C01-09E2-4EA1-9E3C-B5614C4AF84B}</author>
    <author>tc={EBA0940B-BBEA-45E9-830F-1ADC3AC19398}</author>
    <author>tc={82907161-F119-4D3B-84B2-1C03870EA8EC}</author>
  </authors>
  <commentList>
    <comment ref="O144" authorId="0" shapeId="0" xr:uid="{37159C01-09E2-4EA1-9E3C-B5614C4AF84B}">
      <text>
        <t>[Threaded comment]
Your version of Excel allows you to read this threaded comment; however, any edits to it will get removed if the file is opened in a newer version of Excel. Learn more: https://go.microsoft.com/fwlink/?linkid=870924
Comment:
    From HFPO synthesis</t>
      </text>
    </comment>
    <comment ref="O146" authorId="1" shapeId="0" xr:uid="{EBA0940B-BBEA-45E9-830F-1ADC3AC19398}">
      <text>
        <t>[Threaded comment]
Your version of Excel allows you to read this threaded comment; however, any edits to it will get removed if the file is opened in a newer version of Excel. Learn more: https://go.microsoft.com/fwlink/?linkid=870924
Comment:
    From PSEPVE synthesis</t>
      </text>
    </comment>
    <comment ref="Q163" authorId="2" shapeId="0" xr:uid="{82907161-F119-4D3B-84B2-1C03870EA8EC}">
      <text>
        <t>[Threaded comment]
Your version of Excel allows you to read this threaded comment; however, any edits to it will get removed if the file is opened in a newer version of Excel. Learn more: https://go.microsoft.com/fwlink/?linkid=870924
Comment:
    1 ml solvent/ 100 mg solid</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<sst xmlns="http://schemas.openxmlformats.org/spreadsheetml/2006/main" count="46846" uniqueCount="1999">
  <si>
    <t>cutoff</t>
  </si>
  <si>
    <t>Database</t>
  </si>
  <si>
    <t>GENESIS_2050_PEMFC-bat_Base</t>
  </si>
  <si>
    <t>format</t>
  </si>
  <si>
    <t>Excel spreadsheet</t>
  </si>
  <si>
    <t>Activity</t>
  </si>
  <si>
    <t>aircraft usage, design mission, PEMFC-bat</t>
  </si>
  <si>
    <t>categories</t>
  </si>
  <si>
    <t>Use</t>
  </si>
  <si>
    <t>code</t>
  </si>
  <si>
    <t>0808F060E0F94D1BB0380DFA4A9065F5</t>
  </si>
  <si>
    <t>comment</t>
  </si>
  <si>
    <t>Table B1 of GENESIS_LCI_powerplant_long-term_PEMFC-bat_v01.xlsx.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</si>
  <si>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</si>
  <si>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</si>
  <si>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</si>
  <si>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</si>
  <si>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</si>
  <si>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</si>
  <si>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</si>
  <si>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</si>
  <si>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</si>
  <si>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</si>
  <si>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</si>
  <si>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</si>
  <si>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</si>
  <si>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</si>
  <si>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</si>
  <si>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</si>
  <si>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</si>
  <si>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</si>
  <si>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</si>
  <si>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PEMFC-bat</t>
  </si>
  <si>
    <t>technosphere</t>
  </si>
  <si>
    <t>airport use</t>
  </si>
  <si>
    <t>RER</t>
  </si>
  <si>
    <t>hydrogen at airport</t>
  </si>
  <si>
    <t>kilogram</t>
  </si>
  <si>
    <t>market group for electricity, low voltage</t>
  </si>
  <si>
    <t>kilowatt hour</t>
  </si>
  <si>
    <t>ecoinvent_remind_SSP2-Base_2050</t>
  </si>
  <si>
    <t>Water</t>
  </si>
  <si>
    <t>cubic meter</t>
  </si>
  <si>
    <t>biosphere3</t>
  </si>
  <si>
    <t>air</t>
  </si>
  <si>
    <t>biosphere</t>
  </si>
  <si>
    <t>aircraft usage, typical mission, PEMFC-bat</t>
  </si>
  <si>
    <t>17D40CF28F3748DD8B56ED861593DA72</t>
  </si>
  <si>
    <t>Table B2 of GENESIS_LCI_powerplant_long-term_PEMFC-bat_v01.xlsx. 1 unit corresponds to 1 flight over 378.057 km (design mission) with 50 passengers</t>
  </si>
  <si>
    <t>Airframe</t>
  </si>
  <si>
    <t>C6441B6A6002477888AADE6F0853A0E3</t>
  </si>
  <si>
    <t>Table 00 of GENESIS_LCI_airframe_long-term_PEMFC-bat_v01.xlsx. 1 unit corresponds to 20553.9 kg of airframe structure</t>
  </si>
  <si>
    <t>Production of powerplant, PEMFC-bat, long term</t>
  </si>
  <si>
    <t>production of structure/airframe, PEMFC-bat</t>
  </si>
  <si>
    <t>production of systems, PEMFC-bat</t>
  </si>
  <si>
    <t>production of furnishing, PEMFC-bat</t>
  </si>
  <si>
    <t>production of operative equipment, PEMFC-bat</t>
  </si>
  <si>
    <t>Decommissioning of aircraft, PEMFC-bat, Long-Term</t>
  </si>
  <si>
    <t>EoL, PEMFC-bat, Long-Term</t>
  </si>
  <si>
    <t>GLO</t>
  </si>
  <si>
    <t>Aircraft</t>
  </si>
  <si>
    <t>7754647F37D14FE1BFC7948D227502D5</t>
  </si>
  <si>
    <t>Table 0 of GENESIS_LCI_airframe_long-term_PEMFC-bat_v01.xlsx. 1 unit corresponds to 8966.8 kg of airframe structure</t>
  </si>
  <si>
    <t>production of wings and control surfaces for airframe, PEMFC-bat</t>
  </si>
  <si>
    <t>production of horizontal Tail for airframe, PEMFC-bat</t>
  </si>
  <si>
    <t>production of vertical Tail for airframe, PEMFC-bat</t>
  </si>
  <si>
    <t>production of fuselage for airframe, PEMFC-bat</t>
  </si>
  <si>
    <t>production of main undercarriage for airframe, PEMFC-bat</t>
  </si>
  <si>
    <t>production of nose undercarriage for airframe, PEMFC-bat</t>
  </si>
  <si>
    <t>market for natural gas, high pressure</t>
  </si>
  <si>
    <t>market group for heat, district or industrial, natural gas</t>
  </si>
  <si>
    <t>megajoule</t>
  </si>
  <si>
    <t>market for diesel</t>
  </si>
  <si>
    <t>market for kerosene</t>
  </si>
  <si>
    <t>Europe without Switzerland</t>
  </si>
  <si>
    <t>market group for tap water</t>
  </si>
  <si>
    <t>market for wastewater, average</t>
  </si>
  <si>
    <t>Carbon dioxide, fossil</t>
  </si>
  <si>
    <t>VOC, volatile organic compounds, unspecified origin</t>
  </si>
  <si>
    <t>Sulfur oxides</t>
  </si>
  <si>
    <t>Nitrogen oxides</t>
  </si>
  <si>
    <t>treatment of waste plastic, industrial electronics, municipal incineration</t>
  </si>
  <si>
    <t>RoW</t>
  </si>
  <si>
    <t>757FE4CA57214692BF66D9E233FB0352</t>
  </si>
  <si>
    <t>Table 1 of GENESIS_LCI_airframe_long-term_PEMFC-bat_v01.xlsx. 1 unit corresponds to 4248.7 kg of airframe structure</t>
  </si>
  <si>
    <t>market for aluminium alloy, AlMg3</t>
  </si>
  <si>
    <t>market for reinforcing steel</t>
  </si>
  <si>
    <t>production of biofibre composite, PEMFC-bat</t>
  </si>
  <si>
    <t>market for titanium</t>
  </si>
  <si>
    <t>2B35F484AA7E44329EADC1234E52FB35</t>
  </si>
  <si>
    <t>Table 1.1 of GENESIS_LCI_airframe_medium-term_PEMFC-bat_v01.xlsx</t>
  </si>
  <si>
    <t>market for fibre, flax</t>
  </si>
  <si>
    <t>market for epoxy resin, liquid</t>
  </si>
  <si>
    <t>market for nylon 6-6</t>
  </si>
  <si>
    <t>market for polyethylene terephthalate, granulate, amorphous</t>
  </si>
  <si>
    <t>market for tetrafluoroethylene</t>
  </si>
  <si>
    <t>market for solvent, organic</t>
  </si>
  <si>
    <t>market for carbon fibre reinforced plastic, injection moulded</t>
  </si>
  <si>
    <t>market for polyurethane, flexible foam, flame retardant</t>
  </si>
  <si>
    <t>6B6DF32EB55D49238D50AAD6C4AC8BDD</t>
  </si>
  <si>
    <t>Table 2 of GENESIS_LCI_airframe_long-term_PEMFC-bat_v01.xlsx. 1 unit corresponds to 182.8 kg of the horizontal tail</t>
  </si>
  <si>
    <t>market for glass fibre reinforced plastic, polyamide, injection moulded</t>
  </si>
  <si>
    <t>3A80C07AF6C5473088039AAF61C948F4</t>
  </si>
  <si>
    <t>Table 3 of GENESIS_LCI_airframe_long-term_PEMFC-bat_v01.xlsx. 1 unit corresponds to 260.8 kg of the vertical tail</t>
  </si>
  <si>
    <t>ED3007A1D51B45278F2AEAD3BF942720</t>
  </si>
  <si>
    <t>Table 4 of GENESIS_LCI_airframe_long-term_PEMFC-bat_v01.xlsx. 1 unit corresponds to 3129.6 kg of the fuselage. Amount of misc material distributed evenly on the remaining materials</t>
  </si>
  <si>
    <t>35736FC7F12B419EB1B0DEBA9BBFF1CD</t>
  </si>
  <si>
    <t>Table 5 of GENESIS_LCI_airframe_long-term_PEMFC-bat_v01.xlsx. 1 unit corresponds to 940.7 kg of the main undercarriage.</t>
  </si>
  <si>
    <t>9EA592E309894BC7A1CC12F214C973C7</t>
  </si>
  <si>
    <t>Table 5 of GENESIS_LCI_airframe_medium-term_PEMFC-bat_v01.xlsx. 1 unit corresponds to 204.1 kg of the nose undercarriage.</t>
  </si>
  <si>
    <t>F15B520F7A87441AAC540D9CCBA6F59E</t>
  </si>
  <si>
    <t>Table 7 of GENESIS_LCI_airframe_long-term_PEMFC-bat_v01.xlsx. 1 unit corresponds to 2996.1 kg of systems</t>
  </si>
  <si>
    <t>production of air conditioning system for systems, PEMFC-bat</t>
  </si>
  <si>
    <t>production of electrical systems for systems, PEMFC-bat</t>
  </si>
  <si>
    <t>production of pneumatic/hydraulic systems for systems, PEMFC-bat</t>
  </si>
  <si>
    <t>production of instruments for systems, PEMFC-bat</t>
  </si>
  <si>
    <t>production of APU for systems, PEMFC-bat</t>
  </si>
  <si>
    <t>Systems</t>
  </si>
  <si>
    <t>F250EF2D0725415CAB4A2B5A2550CE5A</t>
  </si>
  <si>
    <t>Table 10 of GENESIS_LCI_airframe_long-term_PEMFC-bat_v01.xlsx. 1 unit corresponds to 765.4 kg of the AC system.</t>
  </si>
  <si>
    <t>market for copper, cathode</t>
  </si>
  <si>
    <t>market for polypropylene, granulate</t>
  </si>
  <si>
    <t>86B7D2AF21DE43A4B9B7088D7EF1D6CB</t>
  </si>
  <si>
    <t>Table 7 of GENESIS_LCI_airframe_long-term_PEMFC-bat_v01.xlsx. 1 unit corresponds to 1023.4 kg of the electrical systems.</t>
  </si>
  <si>
    <t>market for electronics, for control units</t>
  </si>
  <si>
    <t>D87F785724E042868AB749C1778D1A35</t>
  </si>
  <si>
    <t>Table 11 of GENESIS_LCI_airframe_long-term_PEMFC-bat_v01.xlsx. 1 unit corresponds to 552.5 kg of the pneumatic/hydraulic systems.</t>
  </si>
  <si>
    <t>production of valves for pneumatic/hydraulic systems, PEMFC-bat</t>
  </si>
  <si>
    <t>production of filters for pneumatic/hydraulic systems, PEMFC-bat</t>
  </si>
  <si>
    <t>production of pumps for pneumatic/hydraulic systems, PEMFC-bat</t>
  </si>
  <si>
    <t>production of lines/pipes for pneumatic/hydraulic systems, PEMFC-bat</t>
  </si>
  <si>
    <t>Pneumatic/hydraulic systems</t>
  </si>
  <si>
    <t>07B1AE8A3A794F409E0FAC2C9283E4BC</t>
  </si>
  <si>
    <t>Table 11 of GENESIS_LCI_airframe_long-term_PEMFC-bat_v01.xlsx. 1 unit corresponds to 118.655 kg of the valves.</t>
  </si>
  <si>
    <t>market for steel, low-alloyed</t>
  </si>
  <si>
    <t>treatment of waste reinforcement steel, recycling</t>
  </si>
  <si>
    <t>substitution</t>
  </si>
  <si>
    <t>7964A55B9A7C49DE8684966D1870C8C1</t>
  </si>
  <si>
    <t>Table 11 of GENESIS_LCI_airframe_long-term_PEMFC-bat_v01.xlsx. 1 unit corresponds to 48.344 kg of the filters.</t>
  </si>
  <si>
    <t>market for cellulose fibre</t>
  </si>
  <si>
    <t>88141BF49F9A406181FD989C39EE9DF7</t>
  </si>
  <si>
    <t>Table 11 of GENESIS_LCI_airframe_long-term_PEMFC-bat_v01.xlsx. 1 unit corresponds to 131.219 kg of the pumps.</t>
  </si>
  <si>
    <t>treatment of aluminium scrap, post-consumer, prepared for recycling, at remelter</t>
  </si>
  <si>
    <t>4255E2D0AC6F4230B9FB11D941A5A976</t>
  </si>
  <si>
    <t>Table 11 of GENESIS_LCI_airframe_long-term_PEMFC-bat_v01.xlsx. 1 unit corresponds to 218.575 kg of the lines/pipes.</t>
  </si>
  <si>
    <t>market for synthetic rubber</t>
  </si>
  <si>
    <t>treatment of waste rubber, unspecified, municipal incineration</t>
  </si>
  <si>
    <t>6BEE9EE8E1614C5EA8658CF080FD43EE</t>
  </si>
  <si>
    <t>Table 7 of GENESIS_LCI_airframe_long-term_PEMFC-bat_v01.xlsx. 1 unit corresponds to 473.2 kg of the instruments.</t>
  </si>
  <si>
    <t>68974D131C0D45B48A59A439A14E562B</t>
  </si>
  <si>
    <t>Table 12 of GENESIS_LCI_airframe_long-term_PEMFC-bat_v01.xlsx. 1 unit corresponds to 181.6 kg of the APU.</t>
  </si>
  <si>
    <t>market for magnesium-alloy, AZ91</t>
  </si>
  <si>
    <t>market for iron-nickel-chromium alloy</t>
  </si>
  <si>
    <t>34D5621629674A92A6E709A7E5624082</t>
  </si>
  <si>
    <t>Table 8 of GENESIS_LCI_airframe_long-term_PEMFC-bat_v01.xlsx. 1 unit corresponds to 1289.9 kg of furnishing</t>
  </si>
  <si>
    <t>market for nylon 6</t>
  </si>
  <si>
    <t>market for fibre, viscose</t>
  </si>
  <si>
    <t>F841B7C6F49947BE8CA6AA54C3138B5C</t>
  </si>
  <si>
    <t>Table 9 of GENESIS_LCI_airframe_long-term_PEMFC-bat_v01.xlsx.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</si>
  <si>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</si>
  <si>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</si>
  <si>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</si>
  <si>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</si>
  <si>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</si>
  <si>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</si>
  <si>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</si>
  <si>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ED83E45F5C3B4796915549FA465C2DD7</t>
  </si>
  <si>
    <t>Table 9 of GENESIS_LCI_airframe_long-term_PEMFC-bat_v01.xlsx. 1 unit corresponds to 19 kg of trolleys</t>
  </si>
  <si>
    <t>9A62A69E58654EB0A6FCE9AA42854760</t>
  </si>
  <si>
    <t>Table 9 of GENESIS_LCI_airframe_long-term_PEMFC-bat_v01.xlsx. 1 unit corresponds to 301.190 kg of galley</t>
  </si>
  <si>
    <t>8A93430D2E8149A58246FB4CD9022F90</t>
  </si>
  <si>
    <t>Table 9 of GENESIS_LCI_airframe_long-term_PEMFC-bat_v01.xlsx. 1 unit corresponds to 10 kg of Manuals</t>
  </si>
  <si>
    <t>market for printed paper</t>
  </si>
  <si>
    <t>EDB7566B606C4485AA21094DDD474EC5</t>
  </si>
  <si>
    <t>Table 9 of GENESIS_LCI_airframe_long-term_PEMFC-bat_v01.xlsx. 1 unit corresponds to 18.060 kg of fire extinguishers</t>
  </si>
  <si>
    <t>market for 1,1-difluoroethane, HFC-152a</t>
  </si>
  <si>
    <t>as proxy for HFC-227</t>
  </si>
  <si>
    <t>93FF1FC5E2954585AF303666E74C451B</t>
  </si>
  <si>
    <t>Table 9 of GENESIS_LCI_airframe_long-term_PEMFC-bat_v01.xlsx. 1 unit corresponds to 21 kg of oxygen masks</t>
  </si>
  <si>
    <t>market for silicone product</t>
  </si>
  <si>
    <t>market for polyvinylchloride, emulsion polymerised</t>
  </si>
  <si>
    <t>49FF7F6BE6524F7FB7816DACBDE2BABB</t>
  </si>
  <si>
    <t>Table 9 of GENESIS_LCI_airframe_long-term_PEMFC-bat_v01.xlsx. 1 unit corresponds to 61.6 kg of life vests</t>
  </si>
  <si>
    <t>production of hydrogen</t>
  </si>
  <si>
    <t>H2</t>
  </si>
  <si>
    <t>7FF6FD3A7B6243C5BFAFA159602A1B81</t>
  </si>
  <si>
    <t>Production of 1 kg of hydrogen in gaseous form</t>
  </si>
  <si>
    <t>comments</t>
  </si>
  <si>
    <t>contruction of H2 production plant</t>
  </si>
  <si>
    <t>Assuming that the stack will last 75.000 hours and the production volume a day is around 50.000 kg</t>
  </si>
  <si>
    <t>Electrical consumption 47 kWhe/kg H2 taken from Table 5 in Delpierre et al. (2021)</t>
  </si>
  <si>
    <t>market for water, ultrapure</t>
  </si>
  <si>
    <t>Water consumption 9 kg/kg H2 taken from Table 5 in Delpierre et al. (2021)</t>
  </si>
  <si>
    <t>market for potassium hydroxide</t>
  </si>
  <si>
    <t>KOH consumption (AE) 1 g/kg H2 taken from Table 5 in Delpierre et al. (2021)</t>
  </si>
  <si>
    <t>Oxygen</t>
  </si>
  <si>
    <t>The factor 8 comes from the chemical equation (ratio H2/O2 is 1:8)</t>
  </si>
  <si>
    <t>liquefaction of hydrogen</t>
  </si>
  <si>
    <t>7EDDE36D2A21408CA42EC77715817886</t>
  </si>
  <si>
    <t>Liquefaction of 1 kg of hydrogen</t>
  </si>
  <si>
    <t>construction of H2 liquefaction system (for liquid H2)</t>
  </si>
  <si>
    <t>30 years lifetime and 16666667 kg/year</t>
  </si>
  <si>
    <t>market for nitrogen, liquid</t>
  </si>
  <si>
    <t>Mixed refrigerant</t>
  </si>
  <si>
    <t>market for natural gas liquids</t>
  </si>
  <si>
    <t>market for ethane</t>
  </si>
  <si>
    <t>market for propane</t>
  </si>
  <si>
    <t>market for butane</t>
  </si>
  <si>
    <t>hydrogen</t>
  </si>
  <si>
    <t>554E2955018E488BBEA9843C01A1EE93</t>
  </si>
  <si>
    <t>1 kg of liquified hydrogen at airport</t>
  </si>
  <si>
    <t>construction of H2 supply system</t>
  </si>
  <si>
    <t>You can tell the importer to ignore some columns, where you can do calculations or take notes.</t>
  </si>
  <si>
    <t>SAF production, long-term, proxy</t>
  </si>
  <si>
    <t>SAF</t>
  </si>
  <si>
    <t>ED28A167477F4AC1A8A8BDA5F0F70CD14</t>
  </si>
  <si>
    <t>proxy for long term saf. EU saf mandate + sustainability criteria were used to select biofuel and e-fuel amounts and produciton pathways. Carbon sequestration calcualted based on the CO2 emissions in the combustion.</t>
  </si>
  <si>
    <t>reference product</t>
  </si>
  <si>
    <t>according to the emission index provided by UNINA</t>
  </si>
  <si>
    <t>Biodiesel production, via transesterification, from palm oil, energy allocation</t>
  </si>
  <si>
    <t>biodiesel, from palm oil</t>
  </si>
  <si>
    <t>ecoinvent_remind_SSP2-NDC_2040</t>
  </si>
  <si>
    <t>LAM</t>
  </si>
  <si>
    <t>does not include CO2 sequestration</t>
  </si>
  <si>
    <t>Kerosene production, synthetic, Fischer Tropsch process, hydrogen from electrolysis, energy allocation</t>
  </si>
  <si>
    <t>capture of 0,07kgCO2/MJ ffuel, see refs https://pubs.acs.org/doi/full/10.1021/es500191g and https://premise.readthedocs.io/en/latest/extract.html</t>
  </si>
  <si>
    <t>Kerosene production, synthetic, Fischer Tropsch process, hydrogen from wood gasification, energy allocation</t>
  </si>
  <si>
    <t>capture of 0,08kgCO2/MJ ffuel, see refs https://pubs.acs.org/doi/full/10.1021/es500191g and https://premise.readthedocs.io/en/latest/extract.html</t>
  </si>
  <si>
    <t>Kerosene production, synthetic, Fischer Tropsch process, hydrogen from wood gasification, with CCS, energy allocation</t>
  </si>
  <si>
    <t>capture of 0,67 kgCO2/MJ fuel (cogeneration of energy nd co2 from biomas), see refs https://pubs.acs.org/doi/full/10.1021/es500191g and https://premise.readthedocs.io/en/latest/extract.html</t>
  </si>
  <si>
    <t xml:space="preserve"> </t>
  </si>
  <si>
    <t>-</t>
  </si>
  <si>
    <t>powerplant</t>
  </si>
  <si>
    <t>E7FA8B8EF9F84CB0899AB1F8B15BB8C3</t>
  </si>
  <si>
    <t>Table 00 (lifetime: 20 years) of GENESIS_LCI_powerplant_long-term_PEMFC-bat_16.01.2023_DTU</t>
  </si>
  <si>
    <t>full names</t>
  </si>
  <si>
    <t>additional comment/assumptions</t>
  </si>
  <si>
    <t>Production of Gearbox, EM</t>
  </si>
  <si>
    <t>Unspecified "Further technological correlation"</t>
  </si>
  <si>
    <t>Production of Propellers, EM</t>
  </si>
  <si>
    <t>Production of Nacelle, EM</t>
  </si>
  <si>
    <t>kg</t>
  </si>
  <si>
    <t>assuming that for BFH 1battery pack corresponds to two final packs from UNINA, lifetime= 3y</t>
  </si>
  <si>
    <t>market for cable, unspecified</t>
  </si>
  <si>
    <t>Hydrogen tanks</t>
  </si>
  <si>
    <t>production of PEMFC fuel cell plant unit, Long-Term, PEMFC-bat</t>
  </si>
  <si>
    <t>648 kg x 2 for lifetime of 20 years</t>
  </si>
  <si>
    <t>market group for electricity, high voltage</t>
  </si>
  <si>
    <t>kWh</t>
  </si>
  <si>
    <t>World</t>
  </si>
  <si>
    <t>MJ</t>
  </si>
  <si>
    <t>m3</t>
  </si>
  <si>
    <t>market group for diesel</t>
  </si>
  <si>
    <t>Assumed water density of 997.42788 kg/m3</t>
  </si>
  <si>
    <t/>
  </si>
  <si>
    <t>BCF8E27DFC9F433384F709991E00604E</t>
  </si>
  <si>
    <t>Table B2 of GENESIS_LCI_powerplant_long-term_PEMFC-bat_16.01.2023_DTU</t>
  </si>
  <si>
    <t>input= input mass*ratio</t>
  </si>
  <si>
    <t>assumed proxy for steel alloy</t>
  </si>
  <si>
    <t>assumed proxy for Aluminium alloy (ADC-12)</t>
  </si>
  <si>
    <t>waste amounts= input mass*ratio - input mass</t>
  </si>
  <si>
    <t>assumed proxy for treatment steel alloy</t>
  </si>
  <si>
    <t>assumed proxy for substituted scraps of steel alloy</t>
  </si>
  <si>
    <t>treatment of aluminium scrap, post-consumer, by collecting, sorting, cleaning, pressing</t>
  </si>
  <si>
    <t>assumed proxy for treatment Aluminium alloy (ADC-12)</t>
  </si>
  <si>
    <t>treatment of aluminium scrap, post-consumer, prepared for recycling, at refiner</t>
  </si>
  <si>
    <t>aluminium, cast alloy</t>
  </si>
  <si>
    <t>assumed proxy for substituted scraps of Aluminium alloy (ADC-12)</t>
  </si>
  <si>
    <t xml:space="preserve">conversions: </t>
  </si>
  <si>
    <t>market group for electricity, medium voltage</t>
  </si>
  <si>
    <t>A428CF56E18E478885F5DFCC47822EE4</t>
  </si>
  <si>
    <t>Table C2 of GENESIS_LCI_powerplant_long-term_PEMFC-bat_16.01.2023_DTU</t>
  </si>
  <si>
    <t>assumed proxy for 20% of ASC-II composite material along with steel 80%</t>
  </si>
  <si>
    <t>assumed proxy for 80% of ASC-II composite material along with CFRP</t>
  </si>
  <si>
    <t>assumed proxy for Aluminum alloy (Al2024/Al2017/Al2014)</t>
  </si>
  <si>
    <t>Incineration of CFRP</t>
  </si>
  <si>
    <t>assumed proxy for treatment of CFRP</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</si>
  <si>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</si>
  <si>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</si>
  <si>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</si>
  <si>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</si>
  <si>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AAAF35D6D6CD47FB9BE85090DF277D45</t>
  </si>
  <si>
    <t>Table E1 of GENESIS_LCI_powerplant_long-term_PEMFC-bat_16.01.2023_DTU</t>
  </si>
  <si>
    <t>assumed proxy for Aluminium alloy (Al2023/Al2019/Al7000)</t>
  </si>
  <si>
    <t>assumed proxy for treatment of Aluminium alloy (Al2023/Al2019/Al7000)</t>
  </si>
  <si>
    <t>assumed proxy for substituted scraps of Aluminium alloy (Al2023/Al2019/Al7000)</t>
  </si>
  <si>
    <t>14</t>
  </si>
  <si>
    <t>D8AFC440D4104FAC9723C585758E4BA9</t>
  </si>
  <si>
    <t>powerplant negative treatment processes</t>
  </si>
  <si>
    <t>Incineration of biowaste</t>
  </si>
  <si>
    <t>D4AE464C1B0D42A799333D0DF00FEFFB</t>
  </si>
  <si>
    <t>treatment of biowaste, municipal incineration</t>
  </si>
  <si>
    <t>Incineration of waste rubber</t>
  </si>
  <si>
    <t>F22710F20E0542B4909456C4BAA094AA</t>
  </si>
  <si>
    <t>carbon nanotube</t>
  </si>
  <si>
    <t>battery including EoL</t>
  </si>
  <si>
    <t>production of battery Li-O for the long term and PEMFC-bat configuration</t>
  </si>
  <si>
    <t>output</t>
  </si>
  <si>
    <t>market for cobalt</t>
  </si>
  <si>
    <t>market for silica sand</t>
  </si>
  <si>
    <t>market for hydrochloric acid, without water, in 30% solution state</t>
  </si>
  <si>
    <t>market for carbon monoxide</t>
  </si>
  <si>
    <t>market for ethoxylated alcohol (AE&gt;20)</t>
  </si>
  <si>
    <t>The ethoxylated alcool type is not specified we assumed an even distribution among the available processes.</t>
  </si>
  <si>
    <t>market for ethoxylated alcohol (AE11)</t>
  </si>
  <si>
    <t>market for ethoxylated alcohol (AE3)</t>
  </si>
  <si>
    <t>market for ethoxylated alcohol (AE7)</t>
  </si>
  <si>
    <t>market for molybdenum</t>
  </si>
  <si>
    <t>market for monoethanolamine</t>
  </si>
  <si>
    <t>market for oxygen, liquid</t>
  </si>
  <si>
    <t>market for sodium hydroxide, without water, in 50% solution state</t>
  </si>
  <si>
    <t>waste treatment with negative sign</t>
  </si>
  <si>
    <t>market for hazardous waste, for incineration</t>
  </si>
  <si>
    <t>treatment of inert waste, inert material landfill</t>
  </si>
  <si>
    <t>we assume the CO2 emissions are from fossil sources in the absence of biomass in the process</t>
  </si>
  <si>
    <t>cathode production, Li-O , PEMFC-bat</t>
  </si>
  <si>
    <t>output for 1 battery pack. Total mass 193.185 kg</t>
  </si>
  <si>
    <t>tetraethyl orthosilicate</t>
  </si>
  <si>
    <t>output for 1 kg of TOES. By-product: 0.7 kg of HCl.</t>
  </si>
  <si>
    <t>market for silicon tetrachloride</t>
  </si>
  <si>
    <t>market for ethanol, without water, in 99.7% solution state, from ethylene</t>
  </si>
  <si>
    <t>Hydrogen chloride</t>
  </si>
  <si>
    <t>Ethanol</t>
  </si>
  <si>
    <t>tetraethyl orthosilicate allocated</t>
  </si>
  <si>
    <t>output for 1 kg of TOES. By-product: 0.7 kg of HCl. We use mass allocation for the TOES output</t>
  </si>
  <si>
    <t>anode, Li-O, PEMFC-bat</t>
  </si>
  <si>
    <t>output for 1 battery pack. Total 564.529=6*675*0.13939 kg. tetraethyl orthosilicate emission to air (10.5657 kg) ignored in the absence of a representative proxy.</t>
  </si>
  <si>
    <t>market for lithium</t>
  </si>
  <si>
    <t>sheet rolling, aluminium</t>
  </si>
  <si>
    <t>PROXY for lithium cold rolling. The factor 4.95 accounts for the density of AL/Li to scale the alluminium rolling process.</t>
  </si>
  <si>
    <t>production of lithium perchlorate</t>
  </si>
  <si>
    <t>output for only 1 kg</t>
  </si>
  <si>
    <t>market for lithium chloride</t>
  </si>
  <si>
    <t>market for sodium perchlorate</t>
  </si>
  <si>
    <t>Sodium</t>
  </si>
  <si>
    <t>water</t>
  </si>
  <si>
    <t>the amount of NaCl to water is disaggregated in emissions of Na and Cl separately with w%Na=39.34% and w%Cl=60.66%</t>
  </si>
  <si>
    <t>Chloride</t>
  </si>
  <si>
    <t>electrolyte, Li-O, PEMFC-bat</t>
  </si>
  <si>
    <t>output for 1 battery pack: 472.23 kg=6*675*0.11660</t>
  </si>
  <si>
    <t>market for ethylene glycol dimethyl ether</t>
  </si>
  <si>
    <t>PROXY for tetraethylene glycol dimethyl ether</t>
  </si>
  <si>
    <t>separator, Li-O, PEMFC-bat</t>
  </si>
  <si>
    <t>output for 1 batrtery pack, total weight 104 kg</t>
  </si>
  <si>
    <t>market for polyethylene, high density, granulate</t>
  </si>
  <si>
    <t>casing for battery cell, Li-O, PEMFC-bat</t>
  </si>
  <si>
    <t>output for the total battery pack : 6*675*0.01942=78.669225 kg</t>
  </si>
  <si>
    <t>market for aluminium, cast alloy</t>
  </si>
  <si>
    <t>market for sheet rolling, aluminium</t>
  </si>
  <si>
    <t>market for extrusion, plastic film</t>
  </si>
  <si>
    <t>polyethylene terephthalate, granulate, amorphous</t>
  </si>
  <si>
    <t>battery cell production, Li-O , PEMFC-bat</t>
  </si>
  <si>
    <t>output for the total amount of cells in the battery pack: 2146.5 kg (0.53 kg/cell * 675 cells/modules * 6 modules / pack). The energy for manufacturing is missing</t>
  </si>
  <si>
    <t>5.00</t>
  </si>
  <si>
    <t>1.00</t>
  </si>
  <si>
    <t>1.30</t>
  </si>
  <si>
    <t>aluminium collector foil production, for Li-ion battery</t>
  </si>
  <si>
    <t>225.38</t>
  </si>
  <si>
    <t>293.00</t>
  </si>
  <si>
    <t>positive foil</t>
  </si>
  <si>
    <t>copper collector foil production, for Li-ion battery</t>
  </si>
  <si>
    <t>384.91</t>
  </si>
  <si>
    <t>500.39</t>
  </si>
  <si>
    <t>negative foil</t>
  </si>
  <si>
    <t>28.76</t>
  </si>
  <si>
    <t>37.38</t>
  </si>
  <si>
    <t>positive terminal</t>
  </si>
  <si>
    <t>946.49</t>
  </si>
  <si>
    <t>1230.43</t>
  </si>
  <si>
    <t>negative terminal</t>
  </si>
  <si>
    <t>casing for battery module, Li-O, PEMFC-bat</t>
  </si>
  <si>
    <t>output for 6*14.355 kg</t>
  </si>
  <si>
    <t>raw material production is considered global though the battery manufacturing is assumed to be EUR or CN</t>
  </si>
  <si>
    <t>diverse plastics</t>
  </si>
  <si>
    <t>insulating material</t>
  </si>
  <si>
    <t>raw material production is considered global though the battery anufacturing is assumed to be EUR or CN</t>
  </si>
  <si>
    <t>battery module production, Li-O, PEMFC-bat</t>
  </si>
  <si>
    <t>output for 6*377.772 kg</t>
  </si>
  <si>
    <t>Battery module management system production, Li-O, PEMFC-bat</t>
  </si>
  <si>
    <t>BMS for the module</t>
  </si>
  <si>
    <t>battery management system production, for Li-ion battery</t>
  </si>
  <si>
    <t>casing for battery pack, Li-O , PEMFC-bat</t>
  </si>
  <si>
    <t>output for 47.72 kg</t>
  </si>
  <si>
    <t>Battery pack management system production, Li-O, PEMFC-bat</t>
  </si>
  <si>
    <t>BMS for the pack</t>
  </si>
  <si>
    <t>compressor, Li-O , PEMFC-bat</t>
  </si>
  <si>
    <t>All columns past the first two for database and activity definitions are ignored in any case.</t>
  </si>
  <si>
    <t>output for 59.65 kg that is one battery pack.</t>
  </si>
  <si>
    <t>market for sheet rolling, steel</t>
  </si>
  <si>
    <t>battery pack production, Li-O, PEMFC-bat</t>
  </si>
  <si>
    <t>E6C3802E7E9E4E6AAE18F8FEEF6AB453</t>
  </si>
  <si>
    <t>output for 2385.928 kg. Aggregated process for producing a battery pack.</t>
  </si>
  <si>
    <t>BMS treatment, PEMFC-bat</t>
  </si>
  <si>
    <t>D78FAF551BE944999A4C19774A9ECA0E</t>
  </si>
  <si>
    <t>recycling of battery LiO for the long term and PEMFC-bat configuration</t>
  </si>
  <si>
    <t>treatment of electronics scrap from control units</t>
  </si>
  <si>
    <t>no creditting, only treatment</t>
  </si>
  <si>
    <t>casing scrap treatment, PEMFC-bat</t>
  </si>
  <si>
    <t>000BA1797134487484D255AC768B902F</t>
  </si>
  <si>
    <t>output. Only aluminium content is recovered</t>
  </si>
  <si>
    <t>aluminium content in the casing scrap 90% and recycling efficiency 95%</t>
  </si>
  <si>
    <t>treatment includes remelting</t>
  </si>
  <si>
    <t>credits</t>
  </si>
  <si>
    <t>treatment of basic oxygen furnace secondary metallurgy slag, residual material landfill</t>
  </si>
  <si>
    <t>proxy for treating the other materials that went to slags (copper and fire losses of aluminium recycling). Uncertainty cannot be added based on the pedigree due to negative flows (undefined log normal distribution)</t>
  </si>
  <si>
    <t>packaging treatment, PEMFC-bat</t>
  </si>
  <si>
    <t>263505BC9F7340C281D37779595F3004</t>
  </si>
  <si>
    <t>treatment of waste paperboard, municipal incineration</t>
  </si>
  <si>
    <t>CH</t>
  </si>
  <si>
    <t>packaging treatment. We assume 100% collection and recycling.</t>
  </si>
  <si>
    <t>heat recovery from cardboard packaging. We assume 50% heat recovery</t>
  </si>
  <si>
    <t>electricity recovery from cardboard packaging. We assume 50% electricity recovery</t>
  </si>
  <si>
    <t>treatment of waste polyethylene, municipal incineration</t>
  </si>
  <si>
    <t>packaging treatment,  no heat and power recovery</t>
  </si>
  <si>
    <t>heat recovery from plastic packaging. We assume 50% of electricity recovery</t>
  </si>
  <si>
    <t>electricity recovery from plastic packaging. We assume 50% of heat recovery.</t>
  </si>
  <si>
    <t>compressor treatment, PEMFC-bat</t>
  </si>
  <si>
    <t>263505BC9F7340C281D37779595F3005</t>
  </si>
  <si>
    <t>output for hte recycling of 59.65 kg of compressor, made 60% of Steel and 40% of Al. We assume it goes to the steel recycler as the main material is steel. We assume 95% recovery. We do not model the energy for shredding.</t>
  </si>
  <si>
    <t>output for hte recycling of 59.65 kg of compressor, made 60% of Steel and 40% of Al</t>
  </si>
  <si>
    <t>we assumed Steel recycler(main material)</t>
  </si>
  <si>
    <t>LiO battery pack dismantling, PEMFC-bat</t>
  </si>
  <si>
    <t>C0B6B295E6044246A8CA57894EBD1FBB</t>
  </si>
  <si>
    <t>output for treating 2385.928 kg of battery pack</t>
  </si>
  <si>
    <t>market for carton board box production, with gravure printing</t>
  </si>
  <si>
    <t>packaging</t>
  </si>
  <si>
    <t>packaging, isolation band</t>
  </si>
  <si>
    <t>market for packaging film, low density polyethylene</t>
  </si>
  <si>
    <t>packaging, bag</t>
  </si>
  <si>
    <t>energy for moving the battery</t>
  </si>
  <si>
    <t>energy for compressed air</t>
  </si>
  <si>
    <t>Multi-step mechanical treatment of pyrolysed modules, LiO, PEMFC-bat</t>
  </si>
  <si>
    <t>012F646DE3774438882F2B91F9C774FD</t>
  </si>
  <si>
    <t>output for 2266.63 kg of dismanteled modules. The process starts with the reception of the dismanteled modules and ends with the production of the active material fraction and the cu/al fraction. No recycling credits is included.</t>
  </si>
  <si>
    <t>energy for mechanical treatment</t>
  </si>
  <si>
    <t>active material and cu/al fractions treatment, LiO, PEMFC-bat</t>
  </si>
  <si>
    <t>9C7FC6F42E74463D9217BE359B210D33</t>
  </si>
  <si>
    <t>output for treatment and recycling of 1293.98 kg of Li concentrate (active material fraction) and 972.65 kg of cu/al fraction (1battery pack)</t>
  </si>
  <si>
    <t>treatment of used Li-ion battery, hydrometallurgical treatment</t>
  </si>
  <si>
    <t>used Li-ion battery</t>
  </si>
  <si>
    <t>the active material fraction is treated by hydrometallurgical process (Cu/La/Li extraction).This process is a proxy for LiO treatment.  Includes waste products, including cobalt recovery. we used an economic allocation. We assume that the uncertainty on lithium content declared in the lci applies to this process.</t>
  </si>
  <si>
    <t>we assume that 90% of the Li content of the active material fraction is recovered by hydrometallurgical treatment</t>
  </si>
  <si>
    <t>treatment of electronics scrap, metals recovery in copper smelter</t>
  </si>
  <si>
    <t>metal part of electronics scrap, in copper, anode</t>
  </si>
  <si>
    <t>cu/al fraction is sent to a copper smelter for recycling. This process is a proxy for copper recovery. We assume all the fraction is sent to a copper smelter and that aluminum can be recovered from it. We assume that the uncertainty on metal content declared in the lci applies to this process.</t>
  </si>
  <si>
    <t>we assume that 70% of the Al content of the Cu/Al fraction is recovered</t>
  </si>
  <si>
    <t>copper, cathode</t>
  </si>
  <si>
    <t>we assume that 98% of the Cu content of the cu/al fraction is recovered</t>
  </si>
  <si>
    <t>treatment of nickel smelter slag, residual material landfill</t>
  </si>
  <si>
    <t>nickel smelter slag</t>
  </si>
  <si>
    <t>slags from the metal recovery from the Cu/Al fraction and active materials fraction.We assume that the uncertainty on metal content declared in the lci applies to this process.</t>
  </si>
  <si>
    <t>treatment of battery LiO, PEMFC-bat</t>
  </si>
  <si>
    <t>C7567F33A0EC4AD9BCB6F5705E3A07D5</t>
  </si>
  <si>
    <t>output, this process can be added to treat the battery pack directly</t>
  </si>
  <si>
    <t>includes credits from BMS, packaging, and casing recycling</t>
  </si>
  <si>
    <t>includes crediting</t>
  </si>
  <si>
    <t>FC-PEM, Long-Term</t>
  </si>
  <si>
    <t>5703478B219C45E2AA417CF69676D70C</t>
  </si>
  <si>
    <t>Table 0 from GENESIS_LCI_fuel cell_PEM_Long-Term_PEMFC-bat_09.02.2023</t>
  </si>
  <si>
    <t>lifetime of 10 years (so two sets of four are needed)</t>
  </si>
  <si>
    <t>production of fuel cell system, Long-Term, PEMFC-bat</t>
  </si>
  <si>
    <t>6BBA7AB8E5054DF4969C72DE3CC2BEDD</t>
  </si>
  <si>
    <t>Table 1 from GENESIS_LCI_fuel cell_PEM_Long-Term_PEMFC-bat_09.02.2023, lifetime = 10 years (accounted for in mother process)</t>
  </si>
  <si>
    <t>208,8898525 kilograms</t>
  </si>
  <si>
    <t>multiplication cf.  lifetime</t>
  </si>
  <si>
    <t>ratio</t>
  </si>
  <si>
    <t>input amount</t>
  </si>
  <si>
    <t>uncertainty</t>
  </si>
  <si>
    <t>production of fuel cell stack</t>
  </si>
  <si>
    <t>+ / - 1</t>
  </si>
  <si>
    <t>see Table 2</t>
  </si>
  <si>
    <t>production of insulated pressure vessel</t>
  </si>
  <si>
    <t>+ 2</t>
  </si>
  <si>
    <t>see Table 11</t>
  </si>
  <si>
    <t xml:space="preserve">production of air system </t>
  </si>
  <si>
    <t>(incl. compressor / air filter / intercooler)</t>
  </si>
  <si>
    <t>+ 1</t>
  </si>
  <si>
    <t>see Table 12</t>
  </si>
  <si>
    <t>production of cooling liquid pump</t>
  </si>
  <si>
    <t>see Table 13</t>
  </si>
  <si>
    <t>production of hydrogen recirculation pump</t>
  </si>
  <si>
    <t>see Table 14</t>
  </si>
  <si>
    <t xml:space="preserve">production of heat exchanger </t>
  </si>
  <si>
    <t>see Table 15</t>
  </si>
  <si>
    <t>production of ion exchange filter</t>
  </si>
  <si>
    <t>see Table 16</t>
  </si>
  <si>
    <t>production of load cables</t>
  </si>
  <si>
    <t>+ / - 50%</t>
  </si>
  <si>
    <t>see Table 17</t>
  </si>
  <si>
    <t>production of supporting construction frame</t>
  </si>
  <si>
    <t>+ / - 30%</t>
  </si>
  <si>
    <t>see Table 18</t>
  </si>
  <si>
    <t>production of piping and hose system</t>
  </si>
  <si>
    <t>see Table 19</t>
  </si>
  <si>
    <t>market for ethylene glycol</t>
  </si>
  <si>
    <t xml:space="preserve">proxy for: glycol cooling liquid, 1115 [Kg/m³] </t>
  </si>
  <si>
    <t>market for hydrogen, gaseous</t>
  </si>
  <si>
    <t>assuming gaseous H2 since we are doing gas leakage tests</t>
  </si>
  <si>
    <t>15 NL gaseous at T=0 and pressure=1bar, and in those conditions density is 1g/L so we have 0,015kg</t>
  </si>
  <si>
    <t>BDBC7E0C7C684109AD08E74D1E006099</t>
  </si>
  <si>
    <t>Table 2 from GENESIS_LCI_fuel cell_PEM_Long-Term_PEMFC-bat_09.02.2023, lifetime = 10 years (accounted for in mother process)</t>
  </si>
  <si>
    <t>Production of single fuel cell / Membrane Electrode Assemblies (MEA)</t>
  </si>
  <si>
    <t>see Table 3</t>
  </si>
  <si>
    <t>Production of planar Interconnect / Bipolar plates (BPP)</t>
  </si>
  <si>
    <t>+/ -50</t>
  </si>
  <si>
    <t>see Table 8</t>
  </si>
  <si>
    <t>Production of Casing/end plates</t>
  </si>
  <si>
    <t>see Table 9</t>
  </si>
  <si>
    <t>Production of Clamping / compression system</t>
  </si>
  <si>
    <t>see Table 10A</t>
  </si>
  <si>
    <t>Production of Cell voltage monitoring unit</t>
  </si>
  <si>
    <t xml:space="preserve"> - 1</t>
  </si>
  <si>
    <t>see Table 10B</t>
  </si>
  <si>
    <t>Production of Current collector</t>
  </si>
  <si>
    <t>see Table 10C</t>
  </si>
  <si>
    <t>Production of Insulated pressure vessel / Fuel Cell Stack Enclosure</t>
  </si>
  <si>
    <t>see Table 10D</t>
  </si>
  <si>
    <t>=  +-100%</t>
  </si>
  <si>
    <t xml:space="preserve"> + / - 100%</t>
  </si>
  <si>
    <t>none</t>
  </si>
  <si>
    <t>10 NL gaseous at T=0 and pressure=1bar, and in those conditions density is 1g/L so we have 0,01kg</t>
  </si>
  <si>
    <t>C90D08F4144F4D208BA657918D473842</t>
  </si>
  <si>
    <t>Table 3 from GENESIS_LCI_fuel cell_PEM_Long-Term_PEMFC-bat_09.02.2023, lifetime = 20 years (accounted for in mother process)</t>
  </si>
  <si>
    <t>Production of PEMFC_anode catalyst layer</t>
  </si>
  <si>
    <t>see Table 4</t>
  </si>
  <si>
    <t>Production of PEMFC_cathode catalyst layer</t>
  </si>
  <si>
    <t>see Table 5</t>
  </si>
  <si>
    <t>Production of PEMFC_electrolyte membrane</t>
  </si>
  <si>
    <t>see Table 6</t>
  </si>
  <si>
    <t>Production of Gas diffusion layer (GDL) and Micro porous layer (MPL)</t>
  </si>
  <si>
    <t>see Table 7A</t>
  </si>
  <si>
    <t>Production of Subgasket</t>
  </si>
  <si>
    <t>see Table 7B</t>
  </si>
  <si>
    <t>869CC9CCC5BB4BBF880DF6D482976D63</t>
  </si>
  <si>
    <t>Table 4 from GENESIS_LCI_fuel cell_PEM_Long-Term_PEMFC-bat_09.02.2023, lifetime = 20 years (accounted for in mother process)</t>
  </si>
  <si>
    <t>CONVERSIONS</t>
  </si>
  <si>
    <t>market for platinum</t>
  </si>
  <si>
    <t xml:space="preserve"> + / - 100 %</t>
  </si>
  <si>
    <t>mg</t>
  </si>
  <si>
    <t>Production of Carbon nanotubes, carbon black</t>
  </si>
  <si>
    <t>see Table 4.1</t>
  </si>
  <si>
    <t>market for rhodium</t>
  </si>
  <si>
    <t>proxy for Ir or other platinum group metal (PGM) catalyst</t>
  </si>
  <si>
    <t>Production of Perfluorosulfonic acid (PFSA) ionomer</t>
  </si>
  <si>
    <t>see Table 4.2</t>
  </si>
  <si>
    <t>market for isopropanol</t>
  </si>
  <si>
    <t>evaporation of the product is neglected, no existing process</t>
  </si>
  <si>
    <t xml:space="preserve"> + / - 50 %</t>
  </si>
  <si>
    <t>ml</t>
  </si>
  <si>
    <t xml:space="preserve">997,77 kg/m3 </t>
  </si>
  <si>
    <t>substitution because 20% of propanol used is recovered and 5% from BTF ratio</t>
  </si>
  <si>
    <t>4CC11F110D034750AAE83CE4BC143D89</t>
  </si>
  <si>
    <t>Table 4.1 from GENESIS_LCI_fuel cell_PEM_Long-Term_PEMFC-bat_09.02.2023, lifetime = 30 years (accounted for in mother process)</t>
  </si>
  <si>
    <t>n.a</t>
  </si>
  <si>
    <t>conversion</t>
  </si>
  <si>
    <t xml:space="preserve">assuming water density 997,77 kg/m3 </t>
  </si>
  <si>
    <t>8F902FF61D4041768CFA158AC3491BFA</t>
  </si>
  <si>
    <t>Table 4.2  from GENESIS_LCI_fuel cell_PEM_Long-Term_PEMFC-bat_09.02.2023, lifetime = 30 years (accounted for in mother process)</t>
  </si>
  <si>
    <t>market for tetrafluoroethane</t>
  </si>
  <si>
    <t>market for sulfur trioxide</t>
  </si>
  <si>
    <t>market for hexafluoroethane</t>
  </si>
  <si>
    <t>market for sodium hypochlorite, without water, in 15% solution state</t>
  </si>
  <si>
    <t>market for soda ash, dense</t>
  </si>
  <si>
    <t>market for chemical factory, organics</t>
  </si>
  <si>
    <t>market for transport, freight, lorry, unspecified</t>
  </si>
  <si>
    <t>ton kilometer</t>
  </si>
  <si>
    <t>market for transport, freight train</t>
  </si>
  <si>
    <t>neglected:</t>
  </si>
  <si>
    <t>Sodium chloride (NaCl), to water</t>
  </si>
  <si>
    <t>not availiable in ecoinvent or biosphere</t>
  </si>
  <si>
    <t>treatment of spent solvent mixture, hazardous waste incineration</t>
  </si>
  <si>
    <t>Sodium hydroxide (NaOH), to water</t>
  </si>
  <si>
    <t>treatment of waste plastic, mixture, municipal incineration</t>
  </si>
  <si>
    <t>Sodium fluoride (NaF)</t>
  </si>
  <si>
    <t>treatment of bilge oil, hazardous waste incineration</t>
  </si>
  <si>
    <t>86A2D577E6EF48F2A128B452F0B40A1C</t>
  </si>
  <si>
    <t>Table 5  from GENESIS_LCI_fuel cell_PEM_Long-Term_PEMFC-bat_09.02.2023, lifetime = 30 years (accounted for in mother process)</t>
  </si>
  <si>
    <t>amount= used-recovered</t>
  </si>
  <si>
    <t>3869F43A14A844099CE6288D5E322EDE</t>
  </si>
  <si>
    <t>Table 6  from GENESIS_LCI_fuel cell_PEM_Long-Term_PEMFC-bat_09.02.2023, lifetime = 20 years (accounted for in mother process)</t>
  </si>
  <si>
    <t>g</t>
  </si>
  <si>
    <t>Production of Polytetrafluoroethylene, PTFE reinforcement</t>
  </si>
  <si>
    <t>table 6.1</t>
  </si>
  <si>
    <t>AE621F90A24D4849AD8EB8F5ACF080EC</t>
  </si>
  <si>
    <t>Table 6.1  from GENESIS_LCI_fuel cell_PEM_Long-Term_PEMFC-bat_09.02.2023, lifetime = 20 years (accounted for in mother process)</t>
  </si>
  <si>
    <t>market for chlorodifluoromethane</t>
  </si>
  <si>
    <t>proxy for Hydrochloric acid (36% in H2O)</t>
  </si>
  <si>
    <t>market group for municipal solid waste</t>
  </si>
  <si>
    <t>GLO process not availiable</t>
  </si>
  <si>
    <t>treatment of refinery sludge, hazardous waste incineration</t>
  </si>
  <si>
    <t>market for methanol</t>
  </si>
  <si>
    <t>proxy for CFC-11</t>
  </si>
  <si>
    <t>proxy for CFC-12</t>
  </si>
  <si>
    <t>9BBC5AEFEF01478B81E83BD95154C227</t>
  </si>
  <si>
    <t>Table 7A  from GENESIS_LCI_fuel cell_PEM_Long-Term_PEMFC-bat_09.02.2023, lifetime = 20 years (accounted for in mother process)</t>
  </si>
  <si>
    <t>market for graphite</t>
  </si>
  <si>
    <t>proxy for Graphite microphorous layer (MPL)</t>
  </si>
  <si>
    <t>34A8A31758AD4FDBB635757A324CE380</t>
  </si>
  <si>
    <t>Table 7B  from GENESIS_LCI_fuel cell_PEM_Long-Term_PEMFC-bat_09.02.2023, lifetime = 20 years (accounted for in mother process)</t>
  </si>
  <si>
    <t>market for polyethylene terephthalate, granulate, bottle grade</t>
  </si>
  <si>
    <t>proxy for Polymer, Polyethylene naphthalate (PEN)</t>
  </si>
  <si>
    <t xml:space="preserve"> +-20%</t>
  </si>
  <si>
    <t>2A0C7EDFF4E54EA293BAA5B629DD96AA</t>
  </si>
  <si>
    <t>Table 8  from GENESIS_LCI_fuel cell_PEM_Long-Term_PEMFC-bat_09.02.2023, lifetime = 20 years (accounted for in mother process)</t>
  </si>
  <si>
    <t>market for steel, chromium steel 18/8</t>
  </si>
  <si>
    <t>+ / - 20 %</t>
  </si>
  <si>
    <t>+ / - 30 %</t>
  </si>
  <si>
    <t>+ / - 100 %</t>
  </si>
  <si>
    <t>selective coating, copper sheet, sputtering</t>
  </si>
  <si>
    <t>square meter</t>
  </si>
  <si>
    <t>m2</t>
  </si>
  <si>
    <t>359949077D3C4514B1BEC99446AEE78B</t>
  </si>
  <si>
    <t>Table 9  from GENESIS_LCI_fuel cell_PEM_Long-Term_PEMFC-bat_09.02.2023, lifetime = 20 years (accounted for in mother process)</t>
  </si>
  <si>
    <t xml:space="preserve">  + - 50%</t>
  </si>
  <si>
    <t>market for injection moulding</t>
  </si>
  <si>
    <t>B2D605D56BB54DB4A205A470BB2BC03B</t>
  </si>
  <si>
    <t>Table 10A  from GENESIS_LCI_fuel cell_PEM_Long-Term_PEMFC-bat_09.02.2023, lifetime = 20 years (accounted for in mother process)</t>
  </si>
  <si>
    <t>C11E3E928FC24718A6C1901E339F1065</t>
  </si>
  <si>
    <t>Table 10B from GENESIS_LCI_fuel cell_PEM_Long-Term_PEMFC-bat_09.02.2023, lifetime = 20 years (accounted for in mother process)</t>
  </si>
  <si>
    <t>4B646A0CF3A242D09C9E043C8C389E51</t>
  </si>
  <si>
    <t>Table 10C from GENESIS_LCI_fuel cell_PEM_Long-Term_PEMFC-bat_09.02.2023, lifetime = 20 years (accounted for in mother process)</t>
  </si>
  <si>
    <t xml:space="preserve"> + - 10</t>
  </si>
  <si>
    <t>market for nickel, class 1</t>
  </si>
  <si>
    <t>market for gold</t>
  </si>
  <si>
    <t>market for sheet rolling, copper</t>
  </si>
  <si>
    <t>341EA9DDCC4B4F918DB87BD71725EDFE</t>
  </si>
  <si>
    <t>Table 10D from GENESIS_LCI_fuel cell_PEM_Long-Term_PEMFC-bat_09.02.2023, lifetime = 20 years (accounted for in mother process)</t>
  </si>
  <si>
    <t>market for polyurethane, rigid foam</t>
  </si>
  <si>
    <t xml:space="preserve"> + - 100</t>
  </si>
  <si>
    <t>market for thermoforming of plastic sheets</t>
  </si>
  <si>
    <t>82DFC1EBC6974C26BA3AFCF686B415EA</t>
  </si>
  <si>
    <t>Table 11 from GENESIS_LCI_fuel cell_PEM_Long-Term_PEMFC-bat_09.02.2023, lifetime = 20 years (accounted for in mother process)</t>
  </si>
  <si>
    <t>A5CB47B9630749F69FB1D52CA3ACF5B1</t>
  </si>
  <si>
    <t>Table 12 from GENESIS_LCI_fuel cell_PEM_Long-Term_PEMFC-bat_09.02.2023, lifetime = 10 years (accounted for in mother process)</t>
  </si>
  <si>
    <t>market for air compressor, screw-type compressor, 4kW</t>
  </si>
  <si>
    <t>Production of Intercooler / humidifier</t>
  </si>
  <si>
    <t>table 12.1</t>
  </si>
  <si>
    <t>1 compressor = 140 kg</t>
  </si>
  <si>
    <t>we need</t>
  </si>
  <si>
    <t>units</t>
  </si>
  <si>
    <t>Production of Air Filter</t>
  </si>
  <si>
    <t>table 12.2</t>
  </si>
  <si>
    <t>table 12.3</t>
  </si>
  <si>
    <t>970F43B6F0DF4517806EB340D920578A</t>
  </si>
  <si>
    <t>Table 12.1 from GENESIS_LCI_fuel cell_PEM_Long-Term_PEMFC-bat_09.02.2023, lifetime = 10 years (accounted for in mother process)</t>
  </si>
  <si>
    <t>market for metal working, average for chromium steel product manufacturing</t>
  </si>
  <si>
    <t>00C268E10E0A443599677E1008232EB0</t>
  </si>
  <si>
    <t>Table 12.2 from GENESIS_LCI_fuel cell_PEM_Long-Term_PEMFC-bat_09.02.2023, lifetime = 10 years (accounted for in mother process)</t>
  </si>
  <si>
    <t>market for polycarbonate</t>
  </si>
  <si>
    <t xml:space="preserve"> + - 50</t>
  </si>
  <si>
    <t>market for activated carbon, granular</t>
  </si>
  <si>
    <t>AC87AA3C4145438E8602672F8BD1BA86</t>
  </si>
  <si>
    <t>Table 13 from GENESIS_LCI_fuel cell_PEM_Long-Term_PEMFC-bat_09.02.2023, lifetime = 10 years (accounted for in mother process)</t>
  </si>
  <si>
    <t>market for copper, anode</t>
  </si>
  <si>
    <t>C47C32C1595D44A191C0BBF7A368D691</t>
  </si>
  <si>
    <t>Table 14 from GENESIS_LCI_fuel cell_PEM_Long-Term_PEMFC-bat_09.02.2023, lifetime = 10 years (accounted for in mother process)</t>
  </si>
  <si>
    <t>market for aluminium, wrought alloy</t>
  </si>
  <si>
    <t>DE5D308C25FE4F3BB4A566E2DD44E25D</t>
  </si>
  <si>
    <t>Table 15 from GENESIS_LCI_fuel cell_PEM_Long-Term_PEMFC-bat_09.02.2023, lifetime = 20 years (accounted for in mother process)</t>
  </si>
  <si>
    <t>market for metal working, average for aluminium product manufacturing</t>
  </si>
  <si>
    <t>A75664AD30784969AAE40ED00C326185</t>
  </si>
  <si>
    <t>Table 16 from GENESIS_LCI_fuel cell_PEM_Long-Term_PEMFC-bat_09.02.2023, lifetime = 5 years (accounted for in mother process)</t>
  </si>
  <si>
    <t>market for cationic resin</t>
  </si>
  <si>
    <t>1EC5DFF8CED9440AA12C1EE694AE0AA8</t>
  </si>
  <si>
    <t>Table 17 from GENESIS_LCI_fuel cell_PEM_Long-Term_PEMFC-bat_09.02.2023, lifetime = 5 years (accounted for in mother process)</t>
  </si>
  <si>
    <t>1D946A00AE37471EB1DFC770ADB90150</t>
  </si>
  <si>
    <t>Table 17 from GENESIS_LCI_fuel cell_PEM_Long-Term_PEMFC-bat_09.02.2023, lifetime =  20years (accounted for in mother process)</t>
  </si>
  <si>
    <t xml:space="preserve"> + - 30</t>
  </si>
  <si>
    <t>4435DC805ABD42B28FA731EBFDFEB5F9</t>
  </si>
  <si>
    <t>production of cryogenic insulated LH2 storage system</t>
  </si>
  <si>
    <t>H2 storage</t>
  </si>
  <si>
    <t>B1F2965604B543BDBC0B6E13E28BB683</t>
  </si>
  <si>
    <t>Production of 1 cryogenic H2 insulated storage system weighting 134.1 kg according to GENESIS_LCI_H2_onboard_storage_long-term_PEMFC-bat_v01.xlsx Table 1 for a lifetime of 20 years for the aircraft use</t>
  </si>
  <si>
    <t>production of tank</t>
  </si>
  <si>
    <t>liftime 10 years</t>
  </si>
  <si>
    <t>production of vacuum pump</t>
  </si>
  <si>
    <t>lifetime 5 years</t>
  </si>
  <si>
    <t>DC89F14B1A72412FA7E5D86220E14B79</t>
  </si>
  <si>
    <t>Production of 1 tank weighting 124.1 kg according to GENESIS_LCI_H2_onboard_storage_long-term_PEMFC-bat_v01.xlsx Table 1.1</t>
  </si>
  <si>
    <t>market for perlite</t>
  </si>
  <si>
    <t>market for acetone, liquid</t>
  </si>
  <si>
    <t>Density 0.791 g/mL</t>
  </si>
  <si>
    <t>market for kraft paper</t>
  </si>
  <si>
    <t>for machining and winding</t>
  </si>
  <si>
    <t>heat for cuing</t>
  </si>
  <si>
    <t>46BDA24A89D147FAB31D819C3A7EA48C</t>
  </si>
  <si>
    <t>Production of 1 vacuum pump weighting 10 kg according to GENESIS_LCI_H2_onboard_storage_long-term_PEMFC-bat_v01.xlsx Table 1.2</t>
  </si>
  <si>
    <t>market for steel, chromium steel 18/8, hot rolled</t>
  </si>
  <si>
    <t>market for electrostatic paint</t>
  </si>
  <si>
    <t>production of motors and drives, PEMFC-bat, Long-Term</t>
  </si>
  <si>
    <t>Motors and Drives</t>
  </si>
  <si>
    <t>89B139C76F304099A2715CDF778D3E15</t>
  </si>
  <si>
    <t>Table 0 of GENESIS_LCI_power_elec_drives_Long-term, PEMFC-bat_v01.xlsx</t>
  </si>
  <si>
    <t>all lifetimes are 15+</t>
  </si>
  <si>
    <t>production of electric motor, PEMFC-bat, Long-Term</t>
  </si>
  <si>
    <t>C4027C3739E54C83804FEF162289A1E0</t>
  </si>
  <si>
    <t>Table H1 of GENESIS_LCI_power_elec_drives_Long-term, PEMFC-bat_v01.xlsx</t>
  </si>
  <si>
    <t>production of stator and rotor, motor, PEMFC-bat, Long-Term</t>
  </si>
  <si>
    <t>production of bearings, motor, PEMFC-bat, Long-Term</t>
  </si>
  <si>
    <t>production of housing, motor, PEMFC-bat, Long-Term</t>
  </si>
  <si>
    <t>F90DDE946F9E41D0AE1C21C8548B4167</t>
  </si>
  <si>
    <t>Table H1.1 of GENESIS_LCI_power_elec_drives_Long-term, PEMFC-bat_v01.xlsx</t>
  </si>
  <si>
    <t>comment 2</t>
  </si>
  <si>
    <t>market for steel, low-alloyed, hot rolled</t>
  </si>
  <si>
    <t>stator</t>
  </si>
  <si>
    <t>rotor</t>
  </si>
  <si>
    <t>assumption for copper coil</t>
  </si>
  <si>
    <t>market for wire drawing, copper</t>
  </si>
  <si>
    <t>Direct cooled stator, POTTING WINDING EPOXY RESIN</t>
  </si>
  <si>
    <t>market for permanent magnet, for electric motor</t>
  </si>
  <si>
    <t>assumption for Magnets,  Sintered Neodymium-Iron-Boron Magnets - G48UH</t>
  </si>
  <si>
    <t>Electricity, Punching of core laminations</t>
  </si>
  <si>
    <t>unknown distribution type but assuming normal - since stdev is around zero</t>
  </si>
  <si>
    <t>Electricity, Stacking and welding of stator laminations</t>
  </si>
  <si>
    <t>Electricity, Bandaging and pressing</t>
  </si>
  <si>
    <t>Electricity, Impregnation and curing</t>
  </si>
  <si>
    <t>Electricity, Wire termination</t>
  </si>
  <si>
    <t>Electricity, Turning</t>
  </si>
  <si>
    <t>assumption for treatment of steel scrap punching of core laminations</t>
  </si>
  <si>
    <t>assumption for steel scrap punching of core laminations</t>
  </si>
  <si>
    <t>assumption for treatment of steel scrap stacking and welding of stator</t>
  </si>
  <si>
    <t>assumption for steel scrap stacking and welding of stator</t>
  </si>
  <si>
    <t>assumption for treatment of steel scrap turning</t>
  </si>
  <si>
    <t>assumption for steel scrap turning</t>
  </si>
  <si>
    <t>assumption for treatment of steel scrap punching of stainless steel rotor endplates</t>
  </si>
  <si>
    <t>assumption for steel scrap punching of stainless steel rotor endplates</t>
  </si>
  <si>
    <t>assumption for treatment of Copper scrap; Winding and phase isolation</t>
  </si>
  <si>
    <t>assumption for Copper scrap; Winding and phase isolation</t>
  </si>
  <si>
    <t>assumption for treatment of Copper scrap; Wire termination</t>
  </si>
  <si>
    <t>assumption for Copper scrap; Wire termination</t>
  </si>
  <si>
    <t>Hydrocarbons, aliphatic, alkanes, unspecified</t>
  </si>
  <si>
    <t>assumption for hydrocarbons (impregnation and curing) to air</t>
  </si>
  <si>
    <t>AF2BEA75DBE241828A99CEE82DD32E1B</t>
  </si>
  <si>
    <t>Table H1.2 of GENESIS_LCI_power_elec_drives_Long-term, PEMFC-bat_v01.xlsx</t>
  </si>
  <si>
    <t xml:space="preserve">one process for Bearing; SKF_6013_2Z_PART2 - Steel-M270-35A 
Bearing; SKF_6013_2Z_PART3 - Steel-M270-35A 
Bearing_Bush_Loose_Bearing; Steel-M270-35A 
Bearing_Bush_Fixed_Bearing; Steel-M270-35A </t>
  </si>
  <si>
    <t>asusmption for Bearing; SKF_6013_2Z_PART1-Aluminium- ENAW-AlMg4,5Mn0,7</t>
  </si>
  <si>
    <t>Electricity, Spline milling of 3.5 com of the shaft end</t>
  </si>
  <si>
    <t>Electricity, Induction surface hardening of 3.5 cm of the shaft end</t>
  </si>
  <si>
    <t>Waste Oil, long-term, PEMFC-bat</t>
  </si>
  <si>
    <t>Waste Oil, long-term, PEMFC-bat, conc. share in dilution; Turning</t>
  </si>
  <si>
    <t>Waste Oil, long-term, PEMFC-bat, conc. share in dilution; Spline milling of 3.5 com of the shaft end</t>
  </si>
  <si>
    <t>E82AA269A4C44D0197B53430C267CE1A</t>
  </si>
  <si>
    <t>Table G1.3 of GENESIS_LCI_power_elec_drives_Long-term, PEMFC-bat_v01.xlsx</t>
  </si>
  <si>
    <t xml:space="preserve">Rotorshaft; Steel-M270-35A </t>
  </si>
  <si>
    <t>one process for A_Shield; Aluminium- ENAW-AlMg4,5Mn0,7
B_Shield; Aluminium- ENAW-AlMg4,5Mn0,7
Cooling housing; Aluminium- ENAW-AlMg4,5Mn0,7
Cylinder housing; Aluminium- ENAW-AlMg4,5Mn0,7
Contact housing; Aluminium- ENAW-AlMg4,5Mn0,7</t>
  </si>
  <si>
    <t>Electricity, Istacking of rotor laminations, magnet mounting and fixation</t>
  </si>
  <si>
    <t>Electricity, Punching of stainless steel rotor endplates</t>
  </si>
  <si>
    <t>Electricity, Assembling and pressing the rotor package onto shaft</t>
  </si>
  <si>
    <t>Electricity, Balancing</t>
  </si>
  <si>
    <t>Electricity, Machining of housing parts</t>
  </si>
  <si>
    <t>Electricity, Cleaning</t>
  </si>
  <si>
    <t>Electricity, Painting</t>
  </si>
  <si>
    <t>Electricity, Technical building services - basic functions</t>
  </si>
  <si>
    <t>Electricity, Technical building services - general work</t>
  </si>
  <si>
    <t>Electricity, Technical building services - compressed air</t>
  </si>
  <si>
    <t>Aluminum scrap, Machining of housing parts</t>
  </si>
  <si>
    <t>treatment for Aluminum scrap, Machining of housing parts</t>
  </si>
  <si>
    <t>Waste Oil, long-term, PEMFC-bat, conc. share in dilution, Machining of housing parts</t>
  </si>
  <si>
    <t>NMVOC, non-methane volatile organic compounds, unspecified origin</t>
  </si>
  <si>
    <t>VOC; Painting</t>
  </si>
  <si>
    <t>production of power electronics, PEMFC-bat, Long-Term</t>
  </si>
  <si>
    <t>Power plant</t>
  </si>
  <si>
    <t>5FC7ADC38B2C4F01B60F569A5B2AD6C0</t>
  </si>
  <si>
    <t>Table 0 of GENESIS_LCI_power_elec_drives_Long-term, PEMFC-bat_v01.xlsx. 1 unit corresponds to 226.91 kg of power electronics</t>
  </si>
  <si>
    <t>weight 1 unit</t>
  </si>
  <si>
    <t>Specified nominal power</t>
  </si>
  <si>
    <t>Production of non-isolating unidirectional fuel cell DC/DC converter</t>
  </si>
  <si>
    <t>C</t>
  </si>
  <si>
    <t>1273 kW</t>
  </si>
  <si>
    <t>done (very similar to MT)</t>
  </si>
  <si>
    <t>production of DC/AC grid inverter, PEMFC-bat, Long-Term</t>
  </si>
  <si>
    <t>A</t>
  </si>
  <si>
    <t>30 kW</t>
  </si>
  <si>
    <t>done (same as MT)?</t>
  </si>
  <si>
    <t>production of isolating DC/DC grid converter, PEMFC-bat, Long-Term</t>
  </si>
  <si>
    <t>B</t>
  </si>
  <si>
    <t>11,2 kW</t>
  </si>
  <si>
    <t>production of motor traction drive inverter DCAC, PEMFC-bat, Long-Term</t>
  </si>
  <si>
    <t>D</t>
  </si>
  <si>
    <t>600 kW</t>
  </si>
  <si>
    <t>production of bidirectional battery DCDC converter, PEMFC-bat, Long-Term</t>
  </si>
  <si>
    <t>E</t>
  </si>
  <si>
    <t>2243 kW</t>
  </si>
  <si>
    <t>done</t>
  </si>
  <si>
    <t>Solder paste waste, long-term, PEMFC-bat</t>
  </si>
  <si>
    <t>this sheet is the same for each component</t>
  </si>
  <si>
    <t>Power electronics</t>
  </si>
  <si>
    <t>F142B0F4E1E54C6D844D5C3BAA0A1F74</t>
  </si>
  <si>
    <t>negative</t>
  </si>
  <si>
    <t>market for spent solvent mixture</t>
  </si>
  <si>
    <t>Hazardous waste incineration, long-term, PEMFC-bat</t>
  </si>
  <si>
    <t>A4ED13D218B24FC9929893615CA0148E</t>
  </si>
  <si>
    <t>6D71826B59B943B68821F1589CBC98A1</t>
  </si>
  <si>
    <t>market for waste mineral oil</t>
  </si>
  <si>
    <t>production of driver board, assembled, long-term, PEMFC-bat</t>
  </si>
  <si>
    <t>AC61B752628F4E69A5744527EB0F2006</t>
  </si>
  <si>
    <t xml:space="preserve">Based on Scalable power electronic inverter unit LCI Model, version 1.01 from Nörderlof et al. </t>
  </si>
  <si>
    <t>production of driver board, unassembled, long-term, PEMFC-bat</t>
  </si>
  <si>
    <t>market for dipropylene glycol monomethyl ether</t>
  </si>
  <si>
    <t>market for water, deionised</t>
  </si>
  <si>
    <t>market for solder, paste, Sn95.5Ag3.9Cu0.6, for electronics industry</t>
  </si>
  <si>
    <t>market for isohexane</t>
  </si>
  <si>
    <t>market for benzaldehyde</t>
  </si>
  <si>
    <t>market for [thio]carbamate-compound</t>
  </si>
  <si>
    <t>market for butyl acetate</t>
  </si>
  <si>
    <t>0E3E3267D3224D36AF39AE2A3B9A883E</t>
  </si>
  <si>
    <t>printed wiring board production, for surface mounting, Pb free surface</t>
  </si>
  <si>
    <t>dm²</t>
  </si>
  <si>
    <t>market for capacitor, electrolyte type, &lt; 2cm height</t>
  </si>
  <si>
    <t>market for capacitor, for surface-mounting</t>
  </si>
  <si>
    <t>market for capacitor, tantalum-, for through-hole mounting</t>
  </si>
  <si>
    <t>market for electric connector, wire clamp</t>
  </si>
  <si>
    <t>market for light emitting diode</t>
  </si>
  <si>
    <t>market for diode, glass-, for surface-mounting</t>
  </si>
  <si>
    <t>market for integrated circuit, logic type</t>
  </si>
  <si>
    <t>market for inductor, miniature radio frequency chip</t>
  </si>
  <si>
    <t>market for resistor, surface-mounted</t>
  </si>
  <si>
    <t>market for transformer, low voltage use</t>
  </si>
  <si>
    <t>market for transistor, surface-mounted</t>
  </si>
  <si>
    <t>production of logic board, assembled, with connector, long-term, PEMFC-bat</t>
  </si>
  <si>
    <t>2BDAD8D45A8C4F25AC0EED9294F1F7D7</t>
  </si>
  <si>
    <t>here kilograms are required for further assembly, I assume the square meterage and weight correspond</t>
  </si>
  <si>
    <t>production of logic board, assembled, without connector, long-term, PEMFC-bat</t>
  </si>
  <si>
    <t>m²</t>
  </si>
  <si>
    <t>market for electric connector, peripheral component interconnect buss</t>
  </si>
  <si>
    <t>market for adipic acid</t>
  </si>
  <si>
    <t>01AAE5350B6B4C3789E8DB5DC3A41F9D</t>
  </si>
  <si>
    <t>production of logic board, unassembled, long-term, PEMFC-bat</t>
  </si>
  <si>
    <t>E0E5615E1F654EC3A0409D1239A4A014</t>
  </si>
  <si>
    <t>market for switch, toggle type</t>
  </si>
  <si>
    <t>market for integrated circuit, memory type</t>
  </si>
  <si>
    <t>market for inductor, low value multilayer chip</t>
  </si>
  <si>
    <t>market for inductor, ring core choke type</t>
  </si>
  <si>
    <t>40384180F30648A39DCA2D94FAD6A8AF</t>
  </si>
  <si>
    <t>Table B1 of GENESIS_LCI_power_elec_drives_Long-term, PEMFC-bat_v01.xlsx. 1 unit corresponds to 4.4 kg of DC/AC grid inverter</t>
  </si>
  <si>
    <t>capacitor production, auxilliaries and energy use</t>
  </si>
  <si>
    <t>production of  IGBT power module, complete, DCAC grid inverter, PEMFC-bat, Long-Term</t>
  </si>
  <si>
    <t>production of Galvanized terminals, screws and washers, DCAC grid inverter, PEMFC-bat, Long-Term</t>
  </si>
  <si>
    <t>m2/kg</t>
  </si>
  <si>
    <t>production of plated cable glands, DCAC grid inverter, PEMFC-bat, Long-Term</t>
  </si>
  <si>
    <t>market for nylon 6, glass-filled</t>
  </si>
  <si>
    <t>Lamellar inserts(for glands)</t>
  </si>
  <si>
    <t>O-rings and gland seals (for glands)</t>
  </si>
  <si>
    <t>Nylon distance spacers</t>
  </si>
  <si>
    <t>Bus bar, laminated, DCAC grid inverter, PEMFC-bat, Long-Term</t>
  </si>
  <si>
    <t>production of machined casing, DCAC grid inverter, PEMFC-bat, Long-Term</t>
  </si>
  <si>
    <t>assuming 1kg is one unit?</t>
  </si>
  <si>
    <t>assuming unit = kg</t>
  </si>
  <si>
    <t>market for aluminium oxide, metallurgical</t>
  </si>
  <si>
    <t>TIM - aluminium oxide</t>
  </si>
  <si>
    <t>market for zinc oxide</t>
  </si>
  <si>
    <t>TIM - zinc oxide</t>
  </si>
  <si>
    <t>TIM - silicone oil</t>
  </si>
  <si>
    <t>electricity demand for building services in PCB assembly and for final unit assembly</t>
  </si>
  <si>
    <t>electricity demand for building services in the DCB and power module assembly</t>
  </si>
  <si>
    <t>electricity demand for buiding services in casing manufacturing</t>
  </si>
  <si>
    <t>weight check 4,4 kg</t>
  </si>
  <si>
    <t>7F2B0459CB6348F29F576AFC2725C2D3</t>
  </si>
  <si>
    <t>production of Galvanization layer, DCAC grid inverter, PEMFC-bat, Long-Term</t>
  </si>
  <si>
    <t>m2/KG</t>
  </si>
  <si>
    <t>production of Cleaned terminals, screws and washers, DCAC grid inverter, PEMFC-bat, Long-Term</t>
  </si>
  <si>
    <t>see below</t>
  </si>
  <si>
    <t>market for zinc</t>
  </si>
  <si>
    <t>dm³</t>
  </si>
  <si>
    <t>M3</t>
  </si>
  <si>
    <t>21D43EF1C7EC41B49CFDD41680272C85</t>
  </si>
  <si>
    <t>Hazardous waste disposed</t>
  </si>
  <si>
    <t>inventory indicator::waste</t>
  </si>
  <si>
    <t>08B32EEB31FB458CB3CAC0D82F83DDFA</t>
  </si>
  <si>
    <t>so 0,25 kg screws corresponds to 0,05m2</t>
  </si>
  <si>
    <t>production of Steel terminals, screws and washers, DCAC grid inverter, PEMFC-bat, Long-Term</t>
  </si>
  <si>
    <t>market for sulfuric acid</t>
  </si>
  <si>
    <t>production of nickel in plated layer, DCAC grid inverter, PEMFC-bat, Long-Term</t>
  </si>
  <si>
    <t>741AC0D8978B4CDBBA46CAD79F57C284</t>
  </si>
  <si>
    <t>market for nickel-rich materials</t>
  </si>
  <si>
    <t>9D805872617D499E874BD0D9707CE090</t>
  </si>
  <si>
    <t>market for section bar rolling, steel</t>
  </si>
  <si>
    <t>production of copper bus bars, contacts, plates and foils, DCAC grid inverter, PEMFC-bat, Long-Term</t>
  </si>
  <si>
    <t>A4FAEE51744E4E8EAE74114DF2D7F480</t>
  </si>
  <si>
    <t xml:space="preserve">production </t>
  </si>
  <si>
    <t>metal working, average for copper product manufacturing</t>
  </si>
  <si>
    <t>962EADE932874037AB83360E71D81E24</t>
  </si>
  <si>
    <t>extrusion, co-extrusion of plastic sheets</t>
  </si>
  <si>
    <t>market for laminating service, foil, with acrylic binder</t>
  </si>
  <si>
    <t>C4EF31049AB84799BD285B4C674140E3</t>
  </si>
  <si>
    <t>nickel</t>
  </si>
  <si>
    <t>density</t>
  </si>
  <si>
    <t>kg/m3</t>
  </si>
  <si>
    <t>layer thickness</t>
  </si>
  <si>
    <t>m</t>
  </si>
  <si>
    <t>so</t>
  </si>
  <si>
    <t>kg/m2</t>
  </si>
  <si>
    <t>dm2</t>
  </si>
  <si>
    <t>production of cleaned cable glands, DCAC grid inverter, PEMFC-bat, Long-Term</t>
  </si>
  <si>
    <t>82CDF37A6DAD4EBBAFBA03474470EF59</t>
  </si>
  <si>
    <t>production of brass cable glands, DCAC grid inverter, PEMFC-bat, Long-Term</t>
  </si>
  <si>
    <t>443A26F53DF84736B7D8D088EC6392AD</t>
  </si>
  <si>
    <t>casting, brass</t>
  </si>
  <si>
    <t>market for brass removed by turning, average, conventional</t>
  </si>
  <si>
    <t>503A81C401C2485B937B428632F4E519</t>
  </si>
  <si>
    <t>production of machined casing, mass scaled activities, DCAC grid inverter, PEMFC-bat, Long-Term</t>
  </si>
  <si>
    <t>market for naphtha</t>
  </si>
  <si>
    <t>market for tap water</t>
  </si>
  <si>
    <t>A435973ABC52477A930B9A2C05C83B4C</t>
  </si>
  <si>
    <t>production of die cast casing parts, DCAC grid inverter, PEMFC-bat, Long-Term</t>
  </si>
  <si>
    <t>aluminium ingot, primary, to aluminium, wrought alloy market</t>
  </si>
  <si>
    <t>C042D7696AF94F488D6E769C5B294AC4</t>
  </si>
  <si>
    <t>market for lubricating oil</t>
  </si>
  <si>
    <t>Aluminium</t>
  </si>
  <si>
    <t>A12D6548972544538FE3D571EBAB2AC2</t>
  </si>
  <si>
    <t>production of Power module, open, potted, DCAC grid inverter, PEMFC-bat, Long-Term</t>
  </si>
  <si>
    <t>production of Lid, injection moulded, DCAC grid inverter, PEMFC-bat, Long-Term</t>
  </si>
  <si>
    <t>3BEBCBF8C53C4377944B9158EC7175AD</t>
  </si>
  <si>
    <t>market for polyphenylene sulfide</t>
  </si>
  <si>
    <t>market for antimony</t>
  </si>
  <si>
    <t>market for glass fibre</t>
  </si>
  <si>
    <t>D2D6D08904D8478599843AD5F3BC65F7</t>
  </si>
  <si>
    <t>production of potting gel layer, DCAC grid inverter, PEMFC-bat, Long-Term</t>
  </si>
  <si>
    <t>production of power module, open, wire bonded, DCAC grid inverter, PEMFC-bat, Long-Term</t>
  </si>
  <si>
    <t>E6C37FA84E4A4AC6AD55FCA9B7042FB8</t>
  </si>
  <si>
    <t>43C309DC688B494DA578828E5AC81BA9</t>
  </si>
  <si>
    <t>production of Copper Wire, DCAC grid inverter, PEMFC-bat, Long-Term</t>
  </si>
  <si>
    <t>production of baseplate module with frame, cleaned, DCAC grid inverter, PEMFC-bat, Long-Term</t>
  </si>
  <si>
    <t>A835868402DE42BA9EACDE8E9A160763</t>
  </si>
  <si>
    <t>8F23F5E5B22F4089AFF3FE06B2420B66</t>
  </si>
  <si>
    <t>production of baseplate module with frame, DCAC grid inverter, PEMFC-bat, Long-Term</t>
  </si>
  <si>
    <t>73EE5ECB057A4B94BBBC8EA5081DD053</t>
  </si>
  <si>
    <t>production of baseplate module without frame, cleaned, DCAC grid inverter, PEMFC-bat, Long-Term</t>
  </si>
  <si>
    <t>assuming</t>
  </si>
  <si>
    <t>Prodcution of frame with bonded terminals, DCAC grid inverter, PEMFC-bat, Long-Term, DCAC grid inverter, PEMFC-bat, Long-Term</t>
  </si>
  <si>
    <t>D8EFEADBAAF34707A9795A953EB77019</t>
  </si>
  <si>
    <t>24A13A9B344F4417AB95BC5E8C1C4583</t>
  </si>
  <si>
    <t>production of baseplate module without frame, DCAC grid inverter, PEMFC-bat, Long-Term</t>
  </si>
  <si>
    <t>63F8C4F4E1354D58BC7C011BD6F6DD3F</t>
  </si>
  <si>
    <t>production of DCB, with IGBT chips attached, DCAC grid inverter, PEMFC-bat, Long-Term</t>
  </si>
  <si>
    <t>production of baseplate, to furnace, DCAC grid inverter, PEMFC-bat, Long-Term, DCAC grid inverter, PEMFC-bat, Long-Term</t>
  </si>
  <si>
    <t>8F60F3E3DAE8449CAC0F5C252BCB4A11</t>
  </si>
  <si>
    <t>production of baseplate, cleaned and baked, DCAC grid inverter, PEMFC-bat, Long-Term</t>
  </si>
  <si>
    <t>9564EA4FF282434EB6BBE258D74DC3FD</t>
  </si>
  <si>
    <t>production of baseplate, nickel plated, DCAC grid inverter, PEMFC-bat, Long-Term</t>
  </si>
  <si>
    <t>16C9F32F524A4760B56B2DDD521AC142</t>
  </si>
  <si>
    <t>production of cleaned bus bars, contacts, plates and foils, DCAC grid inverter, PEMFC-bat, Long-Term</t>
  </si>
  <si>
    <t>22DF24D46DD64C1AB74CFE7F91621605</t>
  </si>
  <si>
    <t>57638D8CE6544A8F82478EBCB47EE64B</t>
  </si>
  <si>
    <t>production of DCB substrate, to furnace, DCAC grid inverter, PEMFC-bat, Long-Term</t>
  </si>
  <si>
    <t>production of diced IGBT chips, DCAC grid inverter, PEMFC-bat, Long-Term</t>
  </si>
  <si>
    <t>4BCBE0BDFEB8488986842B605433C52D</t>
  </si>
  <si>
    <t>wafer production, fabricated, for integrated circuit</t>
  </si>
  <si>
    <t>cm2</t>
  </si>
  <si>
    <t>523419C132214CD291D1916FD39EE5E2</t>
  </si>
  <si>
    <t>production of DCB substrate, cleaned and baked, DCAC grid inverter, PEMFC-bat, Long-Term</t>
  </si>
  <si>
    <t>F2270E5B214841E6BA056E2C4E39EAB6</t>
  </si>
  <si>
    <t>production of DCB, patterned, nickel plated, DCAC grid inverter, PEMFC-bat, Long-Term</t>
  </si>
  <si>
    <t>E20079AD5EA04929ACE0117A80D940BD</t>
  </si>
  <si>
    <t>production of DCB, patterned, DCAC grid inverter, PEMFC-bat, Long-Term</t>
  </si>
  <si>
    <t>C595153227E54D708ECCB1DEA6566BCB</t>
  </si>
  <si>
    <t>production of DCB, before etching, DCAC grid inverter, PEMFC-bat, Long-Term</t>
  </si>
  <si>
    <t>market for potassium carbonate</t>
  </si>
  <si>
    <t>market for chemical, organic</t>
  </si>
  <si>
    <t>A9C92D8342A3499588463F54E8397AD8</t>
  </si>
  <si>
    <t>production of Alumina substrate, DCAC grid inverter, PEMFC-bat, Long-Term</t>
  </si>
  <si>
    <t>9D294A01208F47218EAB5491E0D9B5D5</t>
  </si>
  <si>
    <t>acrylic dispersion production, product in 65% solution state</t>
  </si>
  <si>
    <t>market for glycerine</t>
  </si>
  <si>
    <t>acrylic binder production, product in 34% solution state</t>
  </si>
  <si>
    <t>Ammonia</t>
  </si>
  <si>
    <t>Carbon monoxide, fossil</t>
  </si>
  <si>
    <t>9C6A7D950C70494CB15C3F6E82B23A90</t>
  </si>
  <si>
    <t>Driver board, assembled</t>
  </si>
  <si>
    <t>Logic board, assembled, with connector</t>
  </si>
  <si>
    <t>DC link capacitor</t>
  </si>
  <si>
    <t>production of  IGBT power module, complete, isolating DCDC converter, PEMFC-bat, Long-Term</t>
  </si>
  <si>
    <t>IGBT power module, complete</t>
  </si>
  <si>
    <t>production of Galvanized terminals, screws and washers, isolating DCDC converter, PEMFC-bat, Long-Term</t>
  </si>
  <si>
    <t>see assumption about kg/m2 in "Reusable"</t>
  </si>
  <si>
    <t>Galvanized screws and washers</t>
  </si>
  <si>
    <t>production of plated cable glands, isolating DCDC converter, PEMFC-bat, Long-Term</t>
  </si>
  <si>
    <t>Plated cable glands</t>
  </si>
  <si>
    <t>extrusion, plastic pipes</t>
  </si>
  <si>
    <t>Bus bar, laminated, isolating DCDC converter, PEMFC-bat, Long-Term</t>
  </si>
  <si>
    <t xml:space="preserve">Bus bar, laminated </t>
  </si>
  <si>
    <t>production of machined casing, isolating DCDC converter, PEMFC-bat, Long-Term</t>
  </si>
  <si>
    <t>Machined casing, surface treated</t>
  </si>
  <si>
    <t>electricity demand for building services in PCB assembly and for final inverter unit assembly</t>
  </si>
  <si>
    <t>4,4 kg</t>
  </si>
  <si>
    <t>028C4D344BCD4B6898EEAEEBC51EE740</t>
  </si>
  <si>
    <t>production of Galvanization layer, isolating DCDC converter, PEMFC-bat, Long-Term</t>
  </si>
  <si>
    <t>assuming 0,1875 m2/kg</t>
  </si>
  <si>
    <t>production of Cleaned terminals, screws and washers, isolating DCDC converter, PEMFC-bat, Long-Term</t>
  </si>
  <si>
    <t>EBA7D22E2BBB43C69040EFF016267F43</t>
  </si>
  <si>
    <t>948240FA7D0949568F149ED6E38B80BF</t>
  </si>
  <si>
    <t>so 0,2 kg screws corresponds to 0,03 m2</t>
  </si>
  <si>
    <t>so 0,03 m2= 0,16kg</t>
  </si>
  <si>
    <t>production of Steel terminals, screws and washers, isolating DCDC converter, PEMFC-bat, Long-Term</t>
  </si>
  <si>
    <t>production of nickel in plated layer, isolating DCDC converter, PEMFC-bat, Long-Term</t>
  </si>
  <si>
    <t>6B8DDD9176DA4B1294C2433B030004A2</t>
  </si>
  <si>
    <t>D81B46E2AEC3445DB0FEE51483D6F2FD</t>
  </si>
  <si>
    <t>production of copper bus bars, contacts, plates and foils, isolating DCDC converter, PEMFC-bat, Long-Term</t>
  </si>
  <si>
    <t>1DB69A8DC6B34CF4A1C177AA1709220D</t>
  </si>
  <si>
    <t>BEBB6F5A58F648E08439E21173A4B23D</t>
  </si>
  <si>
    <t>779ECC97B1164098B6B6F83EA7F0BAC2</t>
  </si>
  <si>
    <t>production of cleaned cable glands, isolating DCDC converter, PEMFC-bat, Long-Term</t>
  </si>
  <si>
    <t>05DC90D274834575907E52570E1CDF92</t>
  </si>
  <si>
    <t>production of brass cable glands, isolating DCDC converter, PEMFC-bat, Long-Term</t>
  </si>
  <si>
    <t>D928F13E6E6A4BF0A812998CAE0C8EC3</t>
  </si>
  <si>
    <t>assuming that the weight is equivbalent to area in mother process</t>
  </si>
  <si>
    <t>9D4A691499D04E47A549625D9C09326A</t>
  </si>
  <si>
    <t>production of machined casing, mass scaled activities, isolating DCDC converter, PEMFC-bat, Long-Term</t>
  </si>
  <si>
    <t>646090F0FACB40E5A612DC962E36F09D</t>
  </si>
  <si>
    <t>production of die cast casing parts, isolating DCDC converter, PEMFC-bat, Long-Term</t>
  </si>
  <si>
    <t>2C8DECE504654879B0CA4CEE565839A2</t>
  </si>
  <si>
    <t>E14A27F0920A420DA9F96122EDADCD77</t>
  </si>
  <si>
    <t>ASSUMING THAT 1 unit is equivalent given in the overall assembly</t>
  </si>
  <si>
    <t>production of Power module, open, potted, isolating DCDC converter, PEMFC-bat, Long-Term</t>
  </si>
  <si>
    <t>production of Lid, injection moulded, isolating DCDC converter, PEMFC-bat, Long-Term</t>
  </si>
  <si>
    <t>485A7E98DBEC4BEEB5DAE25E9916BC03</t>
  </si>
  <si>
    <t>F96AB88C860F41858821D86348636023</t>
  </si>
  <si>
    <t>production of potting gel layer, isolating DCDC converter, PEMFC-bat, Long-Term</t>
  </si>
  <si>
    <t>production of power module, open, wire bonded, isolating DCDC converter, PEMFC-bat, Long-Term</t>
  </si>
  <si>
    <t>2AEDD932C81A472C9E4EA38F2EED36AE</t>
  </si>
  <si>
    <t>CCEC4A38DDBA4FDBA12E9C496BD1E89D</t>
  </si>
  <si>
    <t>production of Copper Wire, isolating DCDC converter, PEMFC-bat, Long-Term</t>
  </si>
  <si>
    <t>production of baseplate module with frame, cleaned, isolating DCDC converter, PEMFC-bat, Long-Term</t>
  </si>
  <si>
    <t>C1A41C540F8941A2902969FB672540E5</t>
  </si>
  <si>
    <t>EA00393245B74C4E88B03C383DCB7F5E</t>
  </si>
  <si>
    <t>production of baseplate module with frame, isolating DCDC converter, PEMFC-bat, Long-Term</t>
  </si>
  <si>
    <t>2E7E052C267845B5A023E9EBFAAE0D9A</t>
  </si>
  <si>
    <t>production of baseplate module without frame, cleaned, isolating DCDC converter, PEMFC-bat, Long-Term</t>
  </si>
  <si>
    <t>Prodcution of frame with bonded terminals, isolating DCDC converter, PEMFC-bat, Long-Term</t>
  </si>
  <si>
    <t>FA029F9BFBFD436F9EBFAEB6E0C008D4</t>
  </si>
  <si>
    <t>BE266AD9F2ED4078B46409513B46672D</t>
  </si>
  <si>
    <t>production of baseplate module without frame, isolating DCDC converter, PEMFC-bat, Long-Term</t>
  </si>
  <si>
    <t>27A37E8975EC49CE963BCC1803A2D24A</t>
  </si>
  <si>
    <t>production of DCB, with IGBT chips attached, isolating DCDC converter, PEMFC-bat, Long-Term</t>
  </si>
  <si>
    <t>production of baseplate, to furnace, isolating DCDC converter, PEMFC-bat, Long-Term</t>
  </si>
  <si>
    <t>245D6650BEB3475CB7826FD786D9DA91</t>
  </si>
  <si>
    <t>production of baseplate, cleaned and baked, isolating DCDC converter, PEMFC-bat, Long-Term</t>
  </si>
  <si>
    <t>C64FCC346F394A3DA3AC9F1A4411E17D</t>
  </si>
  <si>
    <t>production of baseplate, nickel plated, isolating DCDC converter, PEMFC-bat, Long-Term</t>
  </si>
  <si>
    <t>4EBA344941AE4857960239E89BDAB915</t>
  </si>
  <si>
    <t>production of cleaned bus bars, contacts, plates and foils, isolating DCDC converter, PEMFC-bat, Long-Term</t>
  </si>
  <si>
    <t>nickel in sulfanate is zero</t>
  </si>
  <si>
    <t>85800333B18E410AAA65ABF8D7CA7E3C</t>
  </si>
  <si>
    <t>error in their units assuming the weight and area they give corresponds</t>
  </si>
  <si>
    <t>BED7A6D5B3F24FDE86CB19086A84AF38</t>
  </si>
  <si>
    <t>production of DCB substrate, to furnace, isolating DCDC converter, PEMFC-bat, Long-Term</t>
  </si>
  <si>
    <t>production of diced IGBT chips, isolating DCDC converter, PEMFC-bat, Long-Term</t>
  </si>
  <si>
    <t>C2594E0C7B7A496982B074831DBB2144</t>
  </si>
  <si>
    <t>85EFF17215394FACB176A287F5327D04</t>
  </si>
  <si>
    <t>production of DCB substrate, cleaned and baked, isolating DCDC converter, PEMFC-bat, Long-Term</t>
  </si>
  <si>
    <t>47FD2654A92147F6A32795BD9952C858</t>
  </si>
  <si>
    <t>production of DCB, patterned, nickel plated, isolating DCDC converter, PEMFC-bat, Long-Term</t>
  </si>
  <si>
    <t>FB9316A415694366972D5DAABF2B3B89</t>
  </si>
  <si>
    <t>production of DCB, patterned, isolating DCDC converter, PEMFC-bat, Long-Term</t>
  </si>
  <si>
    <t>D5E6372DF044488E9FB89C912ED924C6</t>
  </si>
  <si>
    <t>production of DCB, before etching, isolating DCDC converter, PEMFC-bat, Long-Term</t>
  </si>
  <si>
    <t>0F9E5768024C4714A8D25DE1118D3F06</t>
  </si>
  <si>
    <t>production of Alumina substrate, isolating DCDC converter, PEMFC-bat, Long-Term</t>
  </si>
  <si>
    <t>B24F80EE0B76410BBBAF35D3128DE59A</t>
  </si>
  <si>
    <t>1DF3733890CA42C4A5927BE59484D957</t>
  </si>
  <si>
    <t>production of  IGBT power module, complete,non-isolating unidirectional FC DCDC converter, PEMFC-bat, Long-Term</t>
  </si>
  <si>
    <t>production of Galvanized terminals, screws and washers,non-isolating unidirectional FC DCDC converter, PEMFC-bat, Long-Term</t>
  </si>
  <si>
    <t>production of plated cable glands,non-isolating unidirectional FC DCDC converter, PEMFC-bat, Long-Term</t>
  </si>
  <si>
    <t>Bus bar, laminated,non-isolating unidirectional FC DCDC converter, PEMFC-bat, Long-Term</t>
  </si>
  <si>
    <t>production of machined casing,non-isolating unidirectional FC DCDC converter, PEMFC-bat, Long-Term</t>
  </si>
  <si>
    <t>16,67 kg</t>
  </si>
  <si>
    <t>weight check</t>
  </si>
  <si>
    <t>1C5E3C087A7B4B3B84A4A0BB520DAC28</t>
  </si>
  <si>
    <t>production of Galvanization layer,non-isolating unidirectional FC DCDC converter, PEMFC-bat, Long-Term</t>
  </si>
  <si>
    <t>production of Cleaned terminals, screws and washers,non-isolating unidirectional FC DCDC converter, PEMFC-bat, Long-Term</t>
  </si>
  <si>
    <t>00DB727259344FB49D8E9AB9A1BAE9A3</t>
  </si>
  <si>
    <t>7144EF17ED524C36B3CE1BF41C5D8686</t>
  </si>
  <si>
    <t>so 0,28 kg screws per 0.05 m2</t>
  </si>
  <si>
    <t>production of Steel terminals, screws and washers,non-isolating unidirectional FC DCDC converter, PEMFC-bat, Long-Term</t>
  </si>
  <si>
    <t>production of nickel in plated layer,non-isolating unidirectional FC DCDC converter, PEMFC-bat, Long-Term</t>
  </si>
  <si>
    <t>BE542E23113C4934A2C402D8894BFECE</t>
  </si>
  <si>
    <t>68FF70533FC444D89C987C108CBEBE76</t>
  </si>
  <si>
    <t>production of copper bus bars, contacts, plates and foils,non-isolating unidirectional FC DCDC converter, PEMFC-bat, Long-Term</t>
  </si>
  <si>
    <t>02D3651E77FA46DD900DFBE2C041C3AE</t>
  </si>
  <si>
    <t>610F29AB4AC94161827E1E14248B0697</t>
  </si>
  <si>
    <t>321ED65B4F3048DDB27623D6BB1E2E7E</t>
  </si>
  <si>
    <t>production of cleaned cable glands,non-isolating unidirectional FC DCDC converter, PEMFC-bat, Long-Term</t>
  </si>
  <si>
    <t>897A8F9914894C8180C3669815CD5D54</t>
  </si>
  <si>
    <t>production of brass cable glands,non-isolating unidirectional FC DCDC converter, PEMFC-bat, Long-Term</t>
  </si>
  <si>
    <t>A3C1D0336E464462AE688043D0C999D7</t>
  </si>
  <si>
    <t>D04F2FA007F74BC8AC338D222BA35A02</t>
  </si>
  <si>
    <t>production of machined casing, mass scaled activities,non-isolating unidirectional FC DCDC converter, PEMFC-bat, Long-Term</t>
  </si>
  <si>
    <t>5469442EEB1A48E7BF0F5748A2863A04</t>
  </si>
  <si>
    <t>production of die cast casing parts,non-isolating unidirectional FC DCDC converter, PEMFC-bat, Long-Term</t>
  </si>
  <si>
    <t>34DCDBC681714C41A5FBA66BC89EC14C</t>
  </si>
  <si>
    <t>4732C764BF6244A6A092D570EC9DFFD4</t>
  </si>
  <si>
    <t>production of Power module, open, potted,non-isolating unidirectional FC DCDC converter, PEMFC-bat, Long-Term</t>
  </si>
  <si>
    <t>production of Lid, injection moulded,non-isolating unidirectional FC DCDC converter, PEMFC-bat, Long-Term</t>
  </si>
  <si>
    <t>8C4695EDE9574A2A8E4B03D4E00124CB</t>
  </si>
  <si>
    <t>879E0ADFD4624C959392ED5CC60F2ED8</t>
  </si>
  <si>
    <t>production of potting gel layer,non-isolating unidirectional FC DCDC converter, PEMFC-bat, Long-Term</t>
  </si>
  <si>
    <t>production of power module, open, wire bonded,non-isolating unidirectional FC DCDC converter, PEMFC-bat, Long-Term</t>
  </si>
  <si>
    <t>7464F83A000C4072851366591A9AB85F</t>
  </si>
  <si>
    <t>EBE24AFBA6F5420B924C6D7CC3946037</t>
  </si>
  <si>
    <t>production of Copper Wire,non-isolating unidirectional FC DCDC converter, PEMFC-bat, Long-Term</t>
  </si>
  <si>
    <t>production of baseplate module with frame, cleaned,non-isolating unidirectional FC DCDC converter, PEMFC-bat, Long-Term</t>
  </si>
  <si>
    <t>F95E6D7C30734E568CD19CC768D84398</t>
  </si>
  <si>
    <t>27F4273757434260A5521AF64EFF262C</t>
  </si>
  <si>
    <t>production of baseplate module with frame,non-isolating unidirectional FC DCDC converter, PEMFC-bat, Long-Term</t>
  </si>
  <si>
    <t>1B063C3907EC4CFA9D21A424979F6302</t>
  </si>
  <si>
    <t>production of baseplate module without frame, cleaned,non-isolating unidirectional FC DCDC converter, PEMFC-bat, Long-Term</t>
  </si>
  <si>
    <t>assuming (from sheet reusable)</t>
  </si>
  <si>
    <t>Prodcution of frame with bonded terminals,non-isolating unidirectional FC DCDC converter, PEMFC-bat, Long-Term</t>
  </si>
  <si>
    <t>4F8E2E7EC76844918EE54B7281DC4A2B</t>
  </si>
  <si>
    <t>5DD56485150E45568A44708D4C0CEBC6</t>
  </si>
  <si>
    <t>production of baseplate module without frame,non-isolating unidirectional FC DCDC converter, PEMFC-bat, Long-Term</t>
  </si>
  <si>
    <t>4A2D349B60E34C17882C6CC720945C70</t>
  </si>
  <si>
    <t>production of DCB, with IGBT chips attached,non-isolating unidirectional FC DCDC converter, PEMFC-bat, Long-Term</t>
  </si>
  <si>
    <t>production of baseplate, to furnace,non-isolating unidirectional FC DCDC converter, PEMFC-bat, Long-Term</t>
  </si>
  <si>
    <t>5442776AECAD49319B8A1C098E4B3C30</t>
  </si>
  <si>
    <t>production of baseplate, cleaned and baked,non-isolating unidirectional FC DCDC converter, PEMFC-bat, Long-Term</t>
  </si>
  <si>
    <t>60F830772E434D17B8FFAA78DD3258AB</t>
  </si>
  <si>
    <t>production of baseplate, nickel plated,non-isolating unidirectional FC DCDC converter, PEMFC-bat, Long-Term</t>
  </si>
  <si>
    <t>2887AC2BE4484B51BE1904235E451444</t>
  </si>
  <si>
    <t>production of cleaned bus bars, contacts, plates and foils,non-isolating unidirectional FC DCDC converter, PEMFC-bat, Long-Term</t>
  </si>
  <si>
    <t>15CD096E00EC495395C77AD6CF4DC62A</t>
  </si>
  <si>
    <t>80512C8BE80B422195C2E0131823EEDF</t>
  </si>
  <si>
    <t>production of DCB substrate, to furnace,non-isolating unidirectional FC DCDC converter, PEMFC-bat, Long-Term</t>
  </si>
  <si>
    <t>production of diced IGBT chips,non-isolating unidirectional FC DCDC converter, PEMFC-bat, Long-Term</t>
  </si>
  <si>
    <t>969FBFFC5988462A91C8BCE01B98B38B</t>
  </si>
  <si>
    <t>cm²</t>
  </si>
  <si>
    <t>BA10C60210E14820992EA03C8DA10EC5</t>
  </si>
  <si>
    <t>production of DCB substrate, cleaned and baked,non-isolating unidirectional FC DCDC converter, PEMFC-bat, Long-Term</t>
  </si>
  <si>
    <t>06C16A44658543E0A375CA4ADFC3E83E</t>
  </si>
  <si>
    <t>production of DCB, patterned, nickel plated,non-isolating unidirectional FC DCDC converter, PEMFC-bat, Long-Term</t>
  </si>
  <si>
    <t>084CE8B67E664D85869D9CA090449E13</t>
  </si>
  <si>
    <t>production of DCB, patterned,non-isolating unidirectional FC DCDC converter, PEMFC-bat, Long-Term</t>
  </si>
  <si>
    <t>0EC6EB8FD3ED4CD2AD42F7BE9F875790</t>
  </si>
  <si>
    <t>production of DCB, before etching,non-isolating unidirectional FC DCDC converter, PEMFC-bat, Long-Term</t>
  </si>
  <si>
    <t>CC234C8B4B6D4DFAAA12942239ADB820</t>
  </si>
  <si>
    <t>production of Alumina substrate,non-isolating unidirectional FC DCDC converter, PEMFC-bat, Long-Term</t>
  </si>
  <si>
    <t>71E383BF6F2849E28D56D9029CBEBBB7</t>
  </si>
  <si>
    <t>11F551BF8A2C4F62AE4EC3273D4B6718</t>
  </si>
  <si>
    <t>production of  IGBT power module, complete, motor traction drive inverter DCAC, PEMFC-bat, Long-Term</t>
  </si>
  <si>
    <t>production of Galvanized terminals, screws and washers, motor traction drive inverter DCAC, PEMFC-bat, Long-Term</t>
  </si>
  <si>
    <t>production of plated cable glands, motor traction drive inverter DCAC, PEMFC-bat, Long-Term</t>
  </si>
  <si>
    <t>Bus bar, laminated, motor traction drive inverter DCAC, PEMFC-bat, Long-Term</t>
  </si>
  <si>
    <t>production of machined casing, motor traction drive inverter DCAC, PEMFC-bat, Long-Term</t>
  </si>
  <si>
    <t>weight check 11,635 kg</t>
  </si>
  <si>
    <t>82E69550D04D42C385C6034C195E6C88</t>
  </si>
  <si>
    <t>Assuming (see below) that</t>
  </si>
  <si>
    <t>production of Galvanization layer, motor traction drive inverter DCAC, PEMFC-bat, Long-Term</t>
  </si>
  <si>
    <t>production of Cleaned terminals, screws and washers, motor traction drive inverter DCAC, PEMFC-bat, Long-Term</t>
  </si>
  <si>
    <t>2632704E365E4126B1E356274DB28044</t>
  </si>
  <si>
    <t>A23B831B5C2E4F328122A1A8A3B2B730</t>
  </si>
  <si>
    <t>so 0,27 kg screws corresponds to 0,05m2</t>
  </si>
  <si>
    <t>production of Steel terminals, screws and washers, motor traction drive inverter DCAC, PEMFC-bat, Long-Term</t>
  </si>
  <si>
    <t>assuming that the input is the same as output of nestled process</t>
  </si>
  <si>
    <t>production of nickel in plated layer, motor traction drive inverter DCAC, PEMFC-bat, Long-Term</t>
  </si>
  <si>
    <t>5D9DC0A5A4EF4420AFF0B726620F15A8</t>
  </si>
  <si>
    <t>B6D3B7C24D8548FDB01DDCB7525B9D50</t>
  </si>
  <si>
    <t>production of copper bus bars, contacts, plates and foils, motor traction drive inverter DCAC, PEMFC-bat, Long-Term</t>
  </si>
  <si>
    <t>AE7F3C9AA6C6451D99863456F3BC2142</t>
  </si>
  <si>
    <t>66690A8E8AD74EAF8A798FDE705BCF3B</t>
  </si>
  <si>
    <t>7AED73FA7E9C44FCAB9D03CA340AA04B</t>
  </si>
  <si>
    <t>production of cleaned cable glands, motor traction drive inverter DCAC, PEMFC-bat, Long-Term</t>
  </si>
  <si>
    <t>1440152F39894B758409C6C5AA1E928A</t>
  </si>
  <si>
    <t>production of brass cable glands, motor traction drive inverter DCAC, PEMFC-bat, Long-Term</t>
  </si>
  <si>
    <t>4800BAFDA8514F32BA91118A8488B8DA</t>
  </si>
  <si>
    <t>E75BD5CD66774050814FD8672420A689</t>
  </si>
  <si>
    <t>production of machined casing, mass scaled activities, motor traction drive inverter DCAC, PEMFC-bat, Long-Term</t>
  </si>
  <si>
    <t>6D0BA277D00544D0BBB9DC3663B9584D</t>
  </si>
  <si>
    <t>production of die cast casing parts, motor traction drive inverter DCAC, PEMFC-bat, Long-Term</t>
  </si>
  <si>
    <t>5747B05A211F48CEBB20241B18588AD2</t>
  </si>
  <si>
    <t>D06BB3AAFA554E6A8A4421B4C6E0F129</t>
  </si>
  <si>
    <t>production of Power module, open, potted, motor traction drive inverter DCAC, PEMFC-bat, Long-Term</t>
  </si>
  <si>
    <t>production of Lid, injection moulded, motor traction drive inverter DCAC, PEMFC-bat, Long-Term</t>
  </si>
  <si>
    <t>FD9B0AFAB2CA456FB9C7C3BE30DC737C</t>
  </si>
  <si>
    <t>6F3D1287931F42DBBD282471A8D9D11A</t>
  </si>
  <si>
    <t>production of potting gel layer, motor traction drive inverter DCAC, PEMFC-bat, Long-Term</t>
  </si>
  <si>
    <t>production of power module, open, wire bonded, motor traction drive inverter DCAC, PEMFC-bat, Long-Term</t>
  </si>
  <si>
    <t>71C7986DD8B14B8D9AD972A096CD83B8</t>
  </si>
  <si>
    <t>67C3640A5CB64A1799352BD82B8A87B0</t>
  </si>
  <si>
    <t>production of Copper Wire, motor traction drive inverter DCAC, PEMFC-bat, Long-Term</t>
  </si>
  <si>
    <t>production of baseplate module with frame, cleaned, motor traction drive inverter DCAC, PEMFC-bat, Long-Term</t>
  </si>
  <si>
    <t>6EDEA081FD77477092380166BDC47B83</t>
  </si>
  <si>
    <t>CBF764AD12714BC697F74DEB1BA69881</t>
  </si>
  <si>
    <t>production of baseplate module with frame, motor traction drive inverter DCAC, PEMFC-bat, Long-Term</t>
  </si>
  <si>
    <t>1A9EA0BEA397498D907A5D27BB5759E6</t>
  </si>
  <si>
    <t>assuming (see sheet "reusable")</t>
  </si>
  <si>
    <t>production of baseplate module without frame, cleaned, motor traction drive inverter DCAC, PEMFC-bat, Long-Term</t>
  </si>
  <si>
    <t>Prodcution of frame with bonded terminals, motor traction drive inverter DCAC, PEMFC-bat, Long-Term</t>
  </si>
  <si>
    <t>F63C1D9B72F0483093FC6938EEE3D07A</t>
  </si>
  <si>
    <t>ACB53BF6E31540E79960EBAF5AE05E8C</t>
  </si>
  <si>
    <t>production of baseplate module without frame, motor traction drive inverter DCAC, PEMFC-bat, Long-Term</t>
  </si>
  <si>
    <t>0018174661A94A1D995B4B852DB3D430</t>
  </si>
  <si>
    <t>production of DCB, with IGBT chips attached, motor traction drive inverter DCAC, PEMFC-bat, Long-Term</t>
  </si>
  <si>
    <t>production of baseplate, to furnace, motor traction drive inverter DCAC, PEMFC-bat, Long-Term</t>
  </si>
  <si>
    <t>B21807DA82BD4C739C630BBFD7837C60</t>
  </si>
  <si>
    <t>production of baseplate, cleaned and baked, motor traction drive inverter DCAC, PEMFC-bat, Long-Term</t>
  </si>
  <si>
    <t>010C07D8964F466D931628BD71982C97</t>
  </si>
  <si>
    <t>production of baseplate, nickel plated, motor traction drive inverter DCAC, PEMFC-bat, Long-Term</t>
  </si>
  <si>
    <t>D38679369FB74AF5B7517A77C7592886</t>
  </si>
  <si>
    <t>production of cleaned bus bars, contacts, plates and foils, motor traction drive inverter DCAC, PEMFC-bat, Long-Term</t>
  </si>
  <si>
    <t>3402BF867DC94A4E9675FF946CAF2FA1</t>
  </si>
  <si>
    <t>92FD4615432C4F79B605689130751BE2</t>
  </si>
  <si>
    <t>production of DCB substrate, to furnace, motor traction drive inverter DCAC, PEMFC-bat, Long-Term</t>
  </si>
  <si>
    <t>production of diced IGBT chips, motor traction drive inverter DCAC, PEMFC-bat, Long-Term</t>
  </si>
  <si>
    <t>EC3F889A65B24D5EA929291F466EE967</t>
  </si>
  <si>
    <t>E06385A3B3F346D3BBE711C39AA3954D</t>
  </si>
  <si>
    <t>production of DCB substrate, cleaned and baked, motor traction drive inverter DCAC, PEMFC-bat, Long-Term</t>
  </si>
  <si>
    <t>704F3E5EAB0745779CA83C5821FDCA82</t>
  </si>
  <si>
    <t>production of DCB, patterned, nickel plated, motor traction drive inverter DCAC, PEMFC-bat, Long-Term</t>
  </si>
  <si>
    <t>B5CEEF6D2D8344198C69C2F8C35E1972</t>
  </si>
  <si>
    <t>production of DCB, patterned, motor traction drive inverter DCAC, PEMFC-bat, Long-Term</t>
  </si>
  <si>
    <t>131C50F5BDCF497CA0EC9096866438D9</t>
  </si>
  <si>
    <t>production of DCB, before etching, motor traction drive inverter DCAC, PEMFC-bat, Long-Term</t>
  </si>
  <si>
    <t>DCFF0F2493C94E64A5585B5088E49A57</t>
  </si>
  <si>
    <t>production of Alumina substrate, motor traction drive inverter DCAC, PEMFC-bat, Long-Term</t>
  </si>
  <si>
    <t>DA09AB320164460A98253ABB94E57A04</t>
  </si>
  <si>
    <t>EAD7B5F0FF3047D79A1D386841B4754D</t>
  </si>
  <si>
    <t>production of  IGBT power module, complete, bidirectional battery DCDC converter, PEMFC-bat, Long-Term</t>
  </si>
  <si>
    <t>production of Galvanized terminals, screws and washers, bidirectional battery DCDC converter, PEMFC-bat, Long-Term</t>
  </si>
  <si>
    <t>production of plated cable glands, bidirectional battery DCDC converter, PEMFC-bat, Long-Term</t>
  </si>
  <si>
    <t>Bus bar, laminated, bidirectional battery DCDC converter, PEMFC-bat, Long-Term</t>
  </si>
  <si>
    <t>production of machined casing, bidirectional battery DCDC converter, PEMFC-bat, Long-Term</t>
  </si>
  <si>
    <t>weight check 36,6 kg</t>
  </si>
  <si>
    <t>16D2B689E9D24421B26F7411331451AD</t>
  </si>
  <si>
    <t>production of Galvanization layer, bidirectional battery DCDC converter, PEMFC-bat, Long-Term</t>
  </si>
  <si>
    <t>production of Cleaned terminals, screws and washers, bidirectional battery DCDC converter, PEMFC-bat, Long-Term</t>
  </si>
  <si>
    <t>5931ED747C064998AC3560DAB65F9E99</t>
  </si>
  <si>
    <t>5701E2A32E4244DF8028B7A9FD7AFDED</t>
  </si>
  <si>
    <t>so 0,05 m2 = 0,34 kg</t>
  </si>
  <si>
    <t>so 0,16 kg screws corresponds to 0,25 m2</t>
  </si>
  <si>
    <t>production of Steel terminals, screws and washers, bidirectional battery DCDC converter, PEMFC-bat, Long-Term</t>
  </si>
  <si>
    <t>production of nickel in plated layer, bidirectional battery DCDC converter, PEMFC-bat, Long-Term</t>
  </si>
  <si>
    <t>0897F7799AD6447CB9E4041F4A145FC7</t>
  </si>
  <si>
    <t>9ABC5C74790F471380AC6B640A7870F4</t>
  </si>
  <si>
    <t>production of copper bus bars, contacts, plates and foils, bidirectional battery DCDC converter, PEMFC-bat, Long-Term</t>
  </si>
  <si>
    <t>A49D46DD94C14D67995E8170933431E8</t>
  </si>
  <si>
    <t>743063F4B4D247F79FF6348E08299A3F</t>
  </si>
  <si>
    <t>D2D9D8DE9CA148ABA8293B0231F72F80</t>
  </si>
  <si>
    <t>assuming that the area is equivbalent to teh weight in mother process</t>
  </si>
  <si>
    <t>production of cleaned cable glands, bidirectional battery DCDC converter, PEMFC-bat, Long-Term</t>
  </si>
  <si>
    <t>4D00C1303C7444B98F62720938F21287</t>
  </si>
  <si>
    <t>production of brass cable glands, bidirectional battery DCDC converter, PEMFC-bat, Long-Term</t>
  </si>
  <si>
    <t>886370E7C52342F18C3C2603F6D38D63</t>
  </si>
  <si>
    <t>assuming that the weight of 3,13kg is equivalent to area in mother process</t>
  </si>
  <si>
    <t>75CCEC64EFE544EE8A05ACB7BA4B8E78</t>
  </si>
  <si>
    <t>production of machined casing, mass scaled activities, bidirectional battery DCDC converter, PEMFC-bat, Long-Term</t>
  </si>
  <si>
    <t>115D775DD38046F1AAEF3E14F2362B3A</t>
  </si>
  <si>
    <t>production of die cast casing parts, bidirectional battery DCDC converter, PEMFC-bat, Long-Term</t>
  </si>
  <si>
    <t>10225A47F42B4ED7982A42ABEF1A7E9A</t>
  </si>
  <si>
    <t>C633A47F543B449EB8C21C8D9A33D353</t>
  </si>
  <si>
    <t>ASSUMING THAT 1 unit is equivalent to the weight in mother processs</t>
  </si>
  <si>
    <t>production of Power module, open, potted, bidirectional battery DCDC converter, PEMFC-bat, Long-Term</t>
  </si>
  <si>
    <t>production of Lid, injection moulded, bidirectional battery DCDC converter, PEMFC-bat, Long-Term</t>
  </si>
  <si>
    <t>B1D5B9CF1B4B40FBA6D66A1661ADB8E3</t>
  </si>
  <si>
    <t>8E7598EF72F141D3A6B53CFAB3244D0C</t>
  </si>
  <si>
    <t>production of potting gel layer, bidirectional battery DCDC converter, PEMFC-bat, Long-Term</t>
  </si>
  <si>
    <t>production of power module, open, wire bonded, bidirectional battery DCDC converter, PEMFC-bat, Long-Term</t>
  </si>
  <si>
    <t>3255153E10CD49428D69290E8977B136</t>
  </si>
  <si>
    <t>735149E1EFF34281BC7B6BC6AA56DF31</t>
  </si>
  <si>
    <t>production of Copper Wire, bidirectional battery DCDC converter, PEMFC-bat, Long-Term</t>
  </si>
  <si>
    <t>production of baseplate module with frame, cleaned, bidirectional battery DCDC converter, PEMFC-bat, Long-Term</t>
  </si>
  <si>
    <t>5FB3ED6F7DE2407AA1C5FB616BD80A6C</t>
  </si>
  <si>
    <t>yes seems very high</t>
  </si>
  <si>
    <t>85015DF92FCE4092BF39F7151F4730A7</t>
  </si>
  <si>
    <t>production of baseplate module with frame, bidirectional battery DCDC converter, PEMFC-bat, Long-Term</t>
  </si>
  <si>
    <t>C49EFA8858914C139A3EFA6E0E14D2C4</t>
  </si>
  <si>
    <t>production of baseplate module without frame, cleaned, bidirectional battery DCDC converter, PEMFC-bat, Long-Term</t>
  </si>
  <si>
    <t>Prodcution of frame with bonded terminals, bidirectional battery DCDC converter, PEMFC-bat, Long-Term</t>
  </si>
  <si>
    <t>731CBC8485224ABA8AE230E623720144</t>
  </si>
  <si>
    <t>6A21390B57FD4C53B9B9F24F9BEC1796</t>
  </si>
  <si>
    <t>production of baseplate module without frame, bidirectional battery DCDC converter, PEMFC-bat, Long-Term</t>
  </si>
  <si>
    <t>C13EEEB76F6E40CBBFCD19339F9CCEE5</t>
  </si>
  <si>
    <t>production of DCB, with IGBT chips attached, bidirectional battery DCDC converter, PEMFC-bat, Long-Term</t>
  </si>
  <si>
    <t>production of baseplate, to furnace, bidirectional battery DCDC converter, PEMFC-bat, Long-Term</t>
  </si>
  <si>
    <t>DFDE4AC2C86648FBB4BD075225557E55</t>
  </si>
  <si>
    <t>production of baseplate, cleaned and baked, bidirectional battery DCDC converter, PEMFC-bat, Long-Term</t>
  </si>
  <si>
    <t>752FF86E23B74AFE93934C8CF20A5002</t>
  </si>
  <si>
    <t>production of baseplate, nickel plated, bidirectional battery DCDC converter, PEMFC-bat, Long-Term</t>
  </si>
  <si>
    <t>8CA6CF95AB394F98BFC1B567262F5E0A</t>
  </si>
  <si>
    <t>production of cleaned bus bars, contacts, plates and foils, bidirectional battery DCDC converter, PEMFC-bat, Long-Term</t>
  </si>
  <si>
    <t>52615F2839644096972C2016D6F150F2</t>
  </si>
  <si>
    <t>9A590664F23A4846960A95B044FB0295</t>
  </si>
  <si>
    <t>production of DCB substrate, to furnace, bidirectional battery DCDC converter, PEMFC-bat, Long-Term</t>
  </si>
  <si>
    <t>production of diced IGBT chips, bidirectional battery DCDC converter, PEMFC-bat, Long-Term</t>
  </si>
  <si>
    <t>4EBEC88921744E1BB189878084AE922C</t>
  </si>
  <si>
    <t>89286035AFCD41F0BE0768737300EB89</t>
  </si>
  <si>
    <t>production of DCB substrate, cleaned and baked, bidirectional battery DCDC converter, PEMFC-bat, Long-Term</t>
  </si>
  <si>
    <t>46A999D8073B463C850C3FE313CEFE3A</t>
  </si>
  <si>
    <t>production of DCB, patterned, nickel plated, bidirectional battery DCDC converter, PEMFC-bat, Long-Term</t>
  </si>
  <si>
    <t>A53439743CAB41178AFBE2530B251CDC</t>
  </si>
  <si>
    <t>production of DCB, patterned, bidirectional battery DCDC converter, PEMFC-bat, Long-Term</t>
  </si>
  <si>
    <t>A795286098BC438686E5F52AC9099521</t>
  </si>
  <si>
    <t>production of DCB, before etching, bidirectional battery DCDC converter, PEMFC-bat, Long-Term</t>
  </si>
  <si>
    <t>445D62073A7F4E0EBF52EF209F761CB2</t>
  </si>
  <si>
    <t>production of Alumina substrate, bidirectional battery DCDC converter, PEMFC-bat, Long-Term</t>
  </si>
  <si>
    <t>3192D21F82554EEABDD391B222A4A6D5</t>
  </si>
  <si>
    <t>8018DC49F9014D7B83465A1CF7FBB823</t>
  </si>
  <si>
    <t>Construction of an alkaline electrolyzer with a power of 200MW</t>
  </si>
  <si>
    <t>production of electrolyzer module (20 MW)</t>
  </si>
  <si>
    <t>Electrolyser EoL, H2 plant construction EoL, PEMFC-bat</t>
  </si>
  <si>
    <t>B81F73C255C34B7995CA12EF9D46773C</t>
  </si>
  <si>
    <t>Production of one electrolzer module with 20 MW (3316122 kg)</t>
  </si>
  <si>
    <t>production of stack</t>
  </si>
  <si>
    <t>production of BoP components</t>
  </si>
  <si>
    <t>production of outdoor housing</t>
  </si>
  <si>
    <t>7D88165F751244C998F02916FE07AA05</t>
  </si>
  <si>
    <t>Production of 1 stack which equals 585508 kg</t>
  </si>
  <si>
    <t>market for aluminium, primary, ingot</t>
  </si>
  <si>
    <t>IAI Area, EU27 &amp; EFTA</t>
  </si>
  <si>
    <t>market for copper collector foil, for Li-ion battery</t>
  </si>
  <si>
    <t>market for flat glass, uncoated</t>
  </si>
  <si>
    <t>market for palladium</t>
  </si>
  <si>
    <t>market for polyester resin, unsaturated</t>
  </si>
  <si>
    <t>market for polyvinylchloride, bulk polymerised</t>
  </si>
  <si>
    <t xml:space="preserve">market for polypropylene, granulate </t>
  </si>
  <si>
    <t>market for acrylonitrile-butadiene-styrene copolymer</t>
  </si>
  <si>
    <t>505C84A8D991460EA12916D8BEE3F7E6</t>
  </si>
  <si>
    <t>Production of base of plate components (818125 kg) according to Table A1.2 as in GENESIS_LCI_H2_production_&amp;_supply_v01.xlsx</t>
  </si>
  <si>
    <t>production of chiller</t>
  </si>
  <si>
    <t>production of closed loop cooling</t>
  </si>
  <si>
    <t>production of control panel</t>
  </si>
  <si>
    <t>production of demi water supply</t>
  </si>
  <si>
    <t>production of hydrogen purification system</t>
  </si>
  <si>
    <t>production of instrument air</t>
  </si>
  <si>
    <t>production of nitrogen panel</t>
  </si>
  <si>
    <t>966517BF195F44238F1B667AC0F9EB74</t>
  </si>
  <si>
    <t>Production of chiller (50753 kg) according to Table A1.2.1 as in GENESIS_LCI_H2_production_&amp;_supply_v01.xlsx</t>
  </si>
  <si>
    <t>market for ferrochromium, high-carbon, 55% Cr</t>
  </si>
  <si>
    <t>market for packaging glass, white</t>
  </si>
  <si>
    <t>market for brass</t>
  </si>
  <si>
    <t>EFD45AD1D14A4090879ED48C16FF108B</t>
  </si>
  <si>
    <t>Production of closed loop cooling (224860 kg) according to Table A1.2.2 as in GENESIS_LCI_H2_production_&amp;_supply_v01.xlsx</t>
  </si>
  <si>
    <t>market for fibre, polyester</t>
  </si>
  <si>
    <t>polyvinylchloride production, suspension polymerisation</t>
  </si>
  <si>
    <t>market for cast iron</t>
  </si>
  <si>
    <t>540AE9013F7A48F596CE65E6B517FE36</t>
  </si>
  <si>
    <t>Production of control panel (342000 kg) according to Table A1.2.3 as in GENESIS_LCI_H2_production_&amp;_supply_v01.xlsx</t>
  </si>
  <si>
    <t>F974BA2368834B479272A05B3D4D45DC</t>
  </si>
  <si>
    <t>Production of demi water supply (52686 kg) according to Table A1.2.4 as in GENESIS_LCI_H2_production_&amp;_supply_v01.xlsx</t>
  </si>
  <si>
    <t>anionic resin production</t>
  </si>
  <si>
    <t>Styrene divinylbenzene copolymer</t>
  </si>
  <si>
    <t>market for activated silica</t>
  </si>
  <si>
    <t>Nitrile butadiene rubber (NBR)</t>
  </si>
  <si>
    <t>market for carbon black</t>
  </si>
  <si>
    <t>1B9428FCC44F492DA30BEEB0F5A4FF5D</t>
  </si>
  <si>
    <t>Production of hydrogen purification system (109260kg) according to Table A1.2.5 as in GENESIS_LCI_H2_production_&amp;_supply_v01.xlsx</t>
  </si>
  <si>
    <t>market for platinum group metal concentrate</t>
  </si>
  <si>
    <t>ZA</t>
  </si>
  <si>
    <t>market for ceramic tile</t>
  </si>
  <si>
    <t>ceramic</t>
  </si>
  <si>
    <t>Ethylene propylene diene monomer (EPDM)</t>
  </si>
  <si>
    <t>EF943BC249BF497CB7E8F14722668962</t>
  </si>
  <si>
    <t>Production of instrument air (34380 kg) according to Table A1.2.6 as in GENESIS_LCI_H2_production_&amp;_supply_v01.xlsx</t>
  </si>
  <si>
    <t>market for bronze</t>
  </si>
  <si>
    <t>0C2F00E5D92644929EF9C4C36E0FD0BC</t>
  </si>
  <si>
    <t>Production of nitrogen panel (4187 kg) according to Table A1.2.7 as in GENESIS_LCI_H2_production_&amp;_supply_v01.xlsx</t>
  </si>
  <si>
    <t>B8AA581E5FC84B60961872D14824420C</t>
  </si>
  <si>
    <t>Production of outdoor housing (1912579 kg) according to Table A1.3 as in GENESIS_LCI_H2_production_&amp;_supply_v01.xlsx</t>
  </si>
  <si>
    <t>market for compact fluorescent lamp</t>
  </si>
  <si>
    <t>Acrylonitrile butadiene styrene (ABS)</t>
  </si>
  <si>
    <t>market for alkyd paint, white, without solvent, in 60% solution state</t>
  </si>
  <si>
    <t>Exterior paint</t>
  </si>
  <si>
    <t>treatment of aluminium, H2 plant construction EoL, PEMFC-bat</t>
  </si>
  <si>
    <t>powerplant EoL, PEMFC-bat, Medium-Term</t>
  </si>
  <si>
    <t>1ECFE0AF7F3D41E4B11243DA01CB63E5</t>
  </si>
  <si>
    <t>H2 plant construction EoL</t>
  </si>
  <si>
    <t>H2 plant construction EoL, PEMFC-bat, Medium-Term</t>
  </si>
  <si>
    <t>assuming % for fuselage alu -project Pamela</t>
  </si>
  <si>
    <t>includes remelting</t>
  </si>
  <si>
    <t>assuming 90% of that is recovered</t>
  </si>
  <si>
    <t>treatment of copper, H2 plant construction EoL, PEMFC-bat</t>
  </si>
  <si>
    <t>7E0A13BD861F41CAA8B821B812480552</t>
  </si>
  <si>
    <t>assuming same % as for fuselage alu (no copper indicated) -project Pamela</t>
  </si>
  <si>
    <t>market for copper-rich materials</t>
  </si>
  <si>
    <t>crediting assuming 90% is recovered</t>
  </si>
  <si>
    <t>treatment of steel, H2 plant construction EoL, PEMFC-bat</t>
  </si>
  <si>
    <t>82AD17443EF04B2BA3E03E6E9B6537AF</t>
  </si>
  <si>
    <t>assuming % for fuselage steel -project Pamela</t>
  </si>
  <si>
    <t>rest to slag landfill</t>
  </si>
  <si>
    <t>treatment of composites, H2 plant construction EoL, PEMFC-bat</t>
  </si>
  <si>
    <t>0BF47AE75CEB45CD9C74B747B612EB51</t>
  </si>
  <si>
    <t>H2 plant construction EoL, for plastics, rubber, nylon and silicone</t>
  </si>
  <si>
    <t>assuming % for fuesalage composites -project Pamela</t>
  </si>
  <si>
    <t>treatment of hazardous waste, hazardous waste incineration</t>
  </si>
  <si>
    <t>treatment of graphite and resin, H2 plant construction EoL</t>
  </si>
  <si>
    <t>934CB6D79C2C42148C9962E54F070279</t>
  </si>
  <si>
    <t>conservative choice: no recycling</t>
  </si>
  <si>
    <t>market for hazardous waste, for underground deposit</t>
  </si>
  <si>
    <t>treatment of electronics, H2 plant construction EoL, PEMFC-bat</t>
  </si>
  <si>
    <t>9CD299E302B241498475A1DE30250D20</t>
  </si>
  <si>
    <t>E51BA324C6B942CE83624DDC89C787DF</t>
  </si>
  <si>
    <t>aluminium</t>
  </si>
  <si>
    <t>copper</t>
  </si>
  <si>
    <t xml:space="preserve">polyethylene </t>
  </si>
  <si>
    <t>polypropylene</t>
  </si>
  <si>
    <t>polyurethane</t>
  </si>
  <si>
    <t>polyester</t>
  </si>
  <si>
    <t>steel</t>
  </si>
  <si>
    <t>alkyd paint</t>
  </si>
  <si>
    <t>1355143549354DCA9C4B80F34717E6C2</t>
  </si>
  <si>
    <t>construction of H2 liquefaction system (for liquid H2) according to GENESIS_LCI_H2_production_&amp;_supply_v01.xlsx Table AB. System weighs 1321410 kg</t>
  </si>
  <si>
    <t>market group for concrete, normal</t>
  </si>
  <si>
    <t>treatment of H2 liquefaction system, H2 liquefaction, PEMFC-bat</t>
  </si>
  <si>
    <t>treatment of aluminium, H2 liquefaction, PEMFC-bat</t>
  </si>
  <si>
    <t>H2 liquefaction</t>
  </si>
  <si>
    <t>H2 liquefaction, PEMFC-bat, Medium-Term</t>
  </si>
  <si>
    <t>treatment of copper, H2 liquefaction, PEMFC-bat</t>
  </si>
  <si>
    <t>3E9158A987BF493D84247F7A8178747A</t>
  </si>
  <si>
    <t>treatment of steel, H2 liquefaction, PEMFC-bat</t>
  </si>
  <si>
    <t>823C92560B2B4CC2898D0DB10CBDD0C1</t>
  </si>
  <si>
    <t>treatment of concrete, H2 liquefaction, PEMFC-bat</t>
  </si>
  <si>
    <t>57FBD49885F9430B8694279CB2346027</t>
  </si>
  <si>
    <t>treatment of waste concrete, not reinforced, recycling</t>
  </si>
  <si>
    <t>78D645BE5FE3497FB84AFBE7CDFDCF90</t>
  </si>
  <si>
    <t>assumed density 2300 kg/m3</t>
  </si>
  <si>
    <t>23,32 m3</t>
  </si>
  <si>
    <t>3E2F8CDE3B37498C97ED538BC272A2A4</t>
  </si>
  <si>
    <t>construction of H2 supply system according to GENESIS_LCI_H2_production_&amp;_supply_v01.xlsx Table B assuming that 1 kg of hydrogen is transported over a distance of 48.8 km</t>
  </si>
  <si>
    <t>transport, freight, lorry, unspecified, regional delivery</t>
  </si>
  <si>
    <t>production of LH2 transport storage tank</t>
  </si>
  <si>
    <t>same as for truck</t>
  </si>
  <si>
    <t>1752DD1B830449ECB5656E3CA2FD0B60</t>
  </si>
  <si>
    <t>construction of LH2 transport storage tank according to GENESIS_LCI_H2_production_&amp;_supply_v01.xlsx Table B1.1</t>
  </si>
  <si>
    <t>treatment of H2 storage tank (transport), PEMFC-bat</t>
  </si>
  <si>
    <t>treatment of aluminium, H2 storage tank (transport), PEMFC-bat</t>
  </si>
  <si>
    <t>DB430B1EFBA84A2DAE91E6A555592582</t>
  </si>
  <si>
    <t>H2 transport</t>
  </si>
  <si>
    <t>treatment of polyurethane, H2 storage tank (transport), PEMFC-bat</t>
  </si>
  <si>
    <t>0CBD14AB46424409B040D91D75AF828B</t>
  </si>
  <si>
    <t>73A5EC095AF04C4DBB4F7BEAB1384BB9</t>
  </si>
  <si>
    <t>Airport</t>
  </si>
  <si>
    <t>Lifetime scaling parameters</t>
  </si>
  <si>
    <t>FD2826B9B2F64B429982853636F19390</t>
  </si>
  <si>
    <t>System</t>
  </si>
  <si>
    <t>years</t>
  </si>
  <si>
    <t>factor</t>
  </si>
  <si>
    <t>Airport use for 1 y valid for 2030-time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30 vehicles (e.g., bus shuttles, GPU’s, vans, and tractor luggage) to support its operation. From these, in 2030 it is considered that 23 use fossil fuel (diesel) and 7 are electric. Diesel and electricity consumption for vehicles is reflected as a separate process from other fuels or energy sources needed at the airport for its operation. 
Statistics for 2030: i) passengers = 2,133,976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</si>
  <si>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</si>
  <si>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</si>
  <si>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NL</t>
  </si>
  <si>
    <t>Airport infrastructure with lifetime of 100y</t>
  </si>
  <si>
    <t>Yearly diesel demand for airport vehicles operated with fossil fuels (GPU's + tractor luggage + vans). Diesel density of 0.846 kg/L. Based on reported numbers form year 2019 for RTHA. See S3 worksheet.</t>
  </si>
  <si>
    <t xml:space="preserve">Yearly glycol consuption. Rescaled value obtained from glycol use at Schiphol airport adjusted using fight departure numbers. Based on reported numbers form year 2019 for Schiphol group. </t>
  </si>
  <si>
    <t>Yearly electricity consuption for airport operations (e.g., lightning, heating, cooling, etc.) + electricity used by electric airport vehicles (passenger shuttle bus + GPU). Based on reported numbers form year 2019 for RTHA. See S3 worksheet</t>
  </si>
  <si>
    <t>Yearly natural gas consuption for airport operations (e.g., backup generators, heating, etc.). Based on reported numbers form year 2019 for RTHA.</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</si>
  <si>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</si>
  <si>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</si>
  <si>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</si>
  <si>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</si>
  <si>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</si>
  <si>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</si>
  <si>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</si>
  <si>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production of charging station, long-term</t>
  </si>
  <si>
    <t>airport</t>
  </si>
  <si>
    <t>955DDDC801CA44D78B9CC7F2796D783D</t>
  </si>
  <si>
    <t>waste originating from terminals and buildings</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</si>
  <si>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</si>
  <si>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</si>
  <si>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</si>
  <si>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</si>
  <si>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</si>
  <si>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</si>
  <si>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</si>
  <si>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</si>
  <si>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</si>
  <si>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</si>
  <si>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</si>
  <si>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</si>
  <si>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</si>
  <si>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</si>
  <si>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</si>
  <si>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</si>
  <si>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</si>
  <si>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</si>
  <si>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</si>
  <si>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</si>
  <si>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</si>
  <si>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</si>
  <si>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</si>
  <si>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</si>
  <si>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</si>
  <si>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</si>
  <si>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</si>
  <si>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</si>
  <si>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</si>
  <si>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</si>
  <si>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</si>
  <si>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</si>
  <si>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</si>
  <si>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</si>
  <si>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</si>
  <si>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</si>
  <si>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</si>
  <si>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</si>
  <si>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</si>
  <si>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</si>
  <si>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</si>
  <si>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</si>
  <si>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</si>
  <si>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</si>
  <si>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</si>
  <si>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</si>
  <si>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</si>
  <si>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</si>
  <si>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</si>
  <si>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</si>
  <si>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</si>
  <si>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</si>
  <si>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</si>
  <si>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</si>
  <si>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</si>
  <si>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</si>
  <si>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</si>
  <si>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</si>
  <si>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</si>
  <si>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</si>
  <si>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</si>
  <si>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</si>
  <si>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</si>
  <si>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</si>
  <si>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</si>
  <si>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</si>
  <si>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</si>
  <si>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</si>
  <si>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 xml:space="preserve">Taking 1.8 kg steel/m2. Data taken from Spielmann et al., 2007. Transport Services. Ecoinvent report No. 14. Swiss Centre for Life Cycle Inventories </t>
  </si>
  <si>
    <t>market for gravel, crushed</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</si>
  <si>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</si>
  <si>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</si>
  <si>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</si>
  <si>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</si>
  <si>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</si>
  <si>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</si>
  <si>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</si>
  <si>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</si>
  <si>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</si>
  <si>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</si>
  <si>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</si>
  <si>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</si>
  <si>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</si>
  <si>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</si>
  <si>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</si>
  <si>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</si>
  <si>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</si>
  <si>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</si>
  <si>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</si>
  <si>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</si>
  <si>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</si>
  <si>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</si>
  <si>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</si>
  <si>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</si>
  <si>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</si>
  <si>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</si>
  <si>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</si>
  <si>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</si>
  <si>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Decommissioning of battery ch. station, Gt-bat, Long-term</t>
  </si>
  <si>
    <t>EoL, Gt-bat, Long-term</t>
  </si>
  <si>
    <t>56956B4D6B16463AB6FBEF7D2D9CB8B6</t>
  </si>
  <si>
    <t xml:space="preserve">. </t>
  </si>
  <si>
    <t>EoL power electronics, GT-bat, Long-term</t>
  </si>
  <si>
    <t>treatment of circuit components,Battery charging station, GT-bat, Long-term</t>
  </si>
  <si>
    <t>power electronics EoL, Gt-bat, Long-term</t>
  </si>
  <si>
    <t>962E71A5EF7B4C83B8BB8A616159299C</t>
  </si>
  <si>
    <t>EoL for all connectors, transformers, capacitors, circuits, inductors, diodes, transistors and resistors</t>
  </si>
  <si>
    <t>sum of all connectors, transformers, capacitors, circuits, inductors, diodes, transistors and resistors in 2050 (see skipped power elec EoL calculation sheet)</t>
  </si>
  <si>
    <t>no crediting only treatment</t>
  </si>
  <si>
    <t>treatment of metals,Battery charging station, GT-bat, Long-term</t>
  </si>
  <si>
    <t>BD06A45BD83347D2A64A54A31AE2B77F</t>
  </si>
  <si>
    <t>all metal components</t>
  </si>
  <si>
    <t>assumption: only aluminium and copper will be recovered (highest % in terms of weight) other metals and metal coatings are assumed to be pyrolised residual materials</t>
  </si>
  <si>
    <t>the remaining 10% remaining from both alu and copper that went to slag + 14,2449 of additional components/coatings from other metals</t>
  </si>
  <si>
    <t>treatment of plastics,Battery charging station, GT-bat, Long-term</t>
  </si>
  <si>
    <t>65AC15BDDA974F56A20D5A04E349FA05</t>
  </si>
  <si>
    <t>all plastic components (incineration with heat recovery)</t>
  </si>
  <si>
    <t xml:space="preserve">assumption for Polypropylene, Polyethylene therephtalate (PET),Polyurethane resin, Polyphenylene sulfide (PPS), Polypropylene </t>
  </si>
  <si>
    <t>LHV of mixture (ecoinvent) = 34,78 MJ/kg</t>
  </si>
  <si>
    <t>electricity recovery from plastic , We assume 50% of heat recovery, LHV = 34,78 MJ/kg converted to kWh</t>
  </si>
  <si>
    <t>heat recovery from plastic packaging, We assume 50% of electricity recovery LHV = 34,78 MJ/kg</t>
  </si>
  <si>
    <t>treatment of remaining material components,Battery charging station, GT-bat, Long-term</t>
  </si>
  <si>
    <t>96DF35C75C064018BB968199F8A59DA4</t>
  </si>
  <si>
    <t xml:space="preserve">all other materials: Silicon, Glass fiber, paint, Epoxy resin, nylon </t>
  </si>
  <si>
    <t>no el, or heat  recovery</t>
  </si>
  <si>
    <t>treatment of power electronics,Battery charging station, GT-bat, Long-term</t>
  </si>
  <si>
    <t>DE21012213D9430AB0170FC53C934253</t>
  </si>
  <si>
    <t>main process</t>
  </si>
  <si>
    <t>accounting for the 48 stations</t>
  </si>
  <si>
    <t>treatment of scrap printed wiring boards, shredding and separation</t>
  </si>
  <si>
    <t>assumed proxy for dismantling - weight corresponds to total weight of all power electronics</t>
  </si>
  <si>
    <t>treatment of alu,Battery charging station, GT-bat, Long-term</t>
  </si>
  <si>
    <t>AC360DA78B5546B2A68C992CCEA9A204</t>
  </si>
  <si>
    <t>motors and drives EoL, Gt-bat, Long-term</t>
  </si>
  <si>
    <t>BBA75FD1E30342A99BD480C45E1251BA</t>
  </si>
  <si>
    <t>process used for both motor and generator</t>
  </si>
  <si>
    <t>treatment of steel,Battery charging station, Gt-bat, Long-term</t>
  </si>
  <si>
    <t>motors and drives, GT-bat, Long-term</t>
  </si>
  <si>
    <t>recycled steel - 80%</t>
  </si>
  <si>
    <t>assumption from EoL provided in Engine/pamela project</t>
  </si>
  <si>
    <t>remaining 20% slag to landfill</t>
  </si>
  <si>
    <t>BABEC4F131064B0DA2F9F5DF3D8D3D7B</t>
  </si>
  <si>
    <t>treatment of ferrite ,Battery charging station, Gt-bat, Long-term</t>
  </si>
  <si>
    <t>treatment of scrap steel, municipal incineration</t>
  </si>
  <si>
    <t>market for ferrite</t>
  </si>
  <si>
    <t>from ecoinvent process for treatment</t>
  </si>
  <si>
    <t>354FFEDB89904551A9A9E2CF1601AE39</t>
  </si>
  <si>
    <t>treatment of electronic components and cables ,Battery charging station, Gt-bat, Long-term</t>
  </si>
  <si>
    <t>assuming that half the wires will be reused</t>
  </si>
  <si>
    <t>353E3AC068524E0C9EE180D12CDD7A85</t>
  </si>
  <si>
    <t>treatment of remaining components,Battery charging station, GT-bat, Long-term</t>
  </si>
  <si>
    <t>production of casing</t>
  </si>
  <si>
    <t>B6F596DBDD1844EE930544B90A4858B8</t>
  </si>
  <si>
    <t>total weight : 2494 kg</t>
  </si>
  <si>
    <t>9b20aabdab5590c519bb3d717c77acf2</t>
  </si>
  <si>
    <t>this process models all the steel plates components of the casing</t>
  </si>
  <si>
    <t>production of display unit</t>
  </si>
  <si>
    <t>DFB80C16145A4B1F839E23271BACC3BC</t>
  </si>
  <si>
    <t>total weight 257 kg</t>
  </si>
  <si>
    <t>market for electronic component, active, unspecified</t>
  </si>
  <si>
    <t>52c4f6d2e1ec507b1ccc96056a761c0d</t>
  </si>
  <si>
    <t>6a887870a4c93245f87c847a969ea18f</t>
  </si>
  <si>
    <t>production of plug</t>
  </si>
  <si>
    <t>FF3166E8B44F4982A9EEC35A560063C4</t>
  </si>
  <si>
    <t>output. Total 2.16 kg</t>
  </si>
  <si>
    <t>market for seal, natural rubber based</t>
  </si>
  <si>
    <t>b865d6e98c6e2b7ab6e0a6bb359c758a</t>
  </si>
  <si>
    <t>7571ba8b5fb386927120b97926265af9</t>
  </si>
  <si>
    <t>3d66c7f5f8d813a5b63b2d19a41ec763</t>
  </si>
  <si>
    <t>580b7aea44c188e5958b4c6bd6ec515a</t>
  </si>
  <si>
    <t>production of transformer</t>
  </si>
  <si>
    <t>E273023275094F8195D3F03BCCA9946C</t>
  </si>
  <si>
    <t>output. Total 2780 kg. The processes below are selected based on the aggregated process transformer production, high voltage from ecoinvent 3.8 and the LCI data information provided within the GENESIS project</t>
  </si>
  <si>
    <t>5a83f1d6bda77c718b16411fde2d725d</t>
  </si>
  <si>
    <t>core</t>
  </si>
  <si>
    <t>2df9b259c95cee00ccb424a5ba60a63f</t>
  </si>
  <si>
    <t>core insulating paper</t>
  </si>
  <si>
    <t>f8586b86fe8ac595be9f6b18e9b94488</t>
  </si>
  <si>
    <t>includes the copper production</t>
  </si>
  <si>
    <t>windings insulating paper</t>
  </si>
  <si>
    <t>production of charging cable</t>
  </si>
  <si>
    <t>EF6B3F5E63DC47D3A0BBBDF84D4281CE</t>
  </si>
  <si>
    <t>output. Total 85.62 kg. Insulation fabric material is declared in the LCI but unspecified mass and material type. Hence it was not reported here</t>
  </si>
  <si>
    <t>683c18c43d5d1a5b067eb690cc9eb9f2</t>
  </si>
  <si>
    <t>f35398f9236631bb2e7001780d8675a1</t>
  </si>
  <si>
    <t>includes 3 components made of copper: DC+/-, PE, signal</t>
  </si>
  <si>
    <t>424d62cc9b4de5437c1e1119b993fa52</t>
  </si>
  <si>
    <t>4210a349676b5668e980fa3baab29d3e</t>
  </si>
  <si>
    <t>grouped process representing the insulation plastic layers</t>
  </si>
  <si>
    <t>produciton of control cabinet, fuses, signal cables</t>
  </si>
  <si>
    <t>6EA2BFB3D2844F798A82A1136EA2A047</t>
  </si>
  <si>
    <t xml:space="preserve">output. Total 20 kg. Proxy from ecoinvent selected as the specific materials and components were not specified in the lci </t>
  </si>
  <si>
    <t>market for electronic component, passive, unspecified</t>
  </si>
  <si>
    <t>b1b65fe4d00b29f2299c72b894a3c0a0</t>
  </si>
  <si>
    <t>produciton of fans</t>
  </si>
  <si>
    <t>FB10AE9851404A5D9E9C092A15A46419</t>
  </si>
  <si>
    <t>output. Total 33 kg.</t>
  </si>
  <si>
    <t>F15282F3A61E494E8F559DE5517C07DB</t>
  </si>
  <si>
    <t>total weight : 178217.72  kg. Please use 1 unit of this process to model the total amount of charging stations needed for the medium term scenario</t>
  </si>
  <si>
    <t>Battery Charging modules</t>
  </si>
  <si>
    <t>18kg</t>
  </si>
  <si>
    <t>14 kg</t>
  </si>
  <si>
    <t>Solder paste waste, battery charging, long-term</t>
  </si>
  <si>
    <t>9DED47B556444549974E273FE40598A0</t>
  </si>
  <si>
    <t>Hazardous waste incineration, battery charging, long-term</t>
  </si>
  <si>
    <t>B63AE1A2A3AF439BB86547A55250C029</t>
  </si>
  <si>
    <t>production of driver board, assembled, battery charging, long-term</t>
  </si>
  <si>
    <t>5EC22B8AF8A34499A7C308D8BC55ED3B</t>
  </si>
  <si>
    <t>SAME!</t>
  </si>
  <si>
    <t>production of driver board, unassembled, battery charging, long-term</t>
  </si>
  <si>
    <t>48567EAB200E478BBFBCF41451E17856</t>
  </si>
  <si>
    <t>production of logic board, assembled, with connector, battery charging, long-term</t>
  </si>
  <si>
    <t>D8E30C10589D44018463C3D01CDDD948</t>
  </si>
  <si>
    <t>production of logic board, assembled, without connector, battery charging, long-term</t>
  </si>
  <si>
    <t>5768476ED4EE41D5B0F0EB4D26228F6E</t>
  </si>
  <si>
    <t>production of logic board, unassembled, battery charging, long-term</t>
  </si>
  <si>
    <t>7B45524238644E8C875A4763FC587DB2</t>
  </si>
  <si>
    <t>production of ACDC power module, battery charging, long-term</t>
  </si>
  <si>
    <t>FACBC3E417194852B8E4083D698D8ED2</t>
  </si>
  <si>
    <t>Table B1 of GENESIS_LCI_power_elec_drives_long-term_v01.xlsx. 1 unit corresponds to 4.4 kg of DC/AC grid inverter</t>
  </si>
  <si>
    <t>production of  IGBT power module, complete, ACDC power module, battery charging, long-term</t>
  </si>
  <si>
    <t>production of Galvanized terminals, screws and washers, ACDC power module, battery charging, long-term</t>
  </si>
  <si>
    <t>production of plated cable glands, ACDC power module, battery charging, long-term</t>
  </si>
  <si>
    <t>Bus bar, laminated,ACDC powert module, battery charging, long-term</t>
  </si>
  <si>
    <t>production of machined casing, DCDC power module, battery charging, long-term</t>
  </si>
  <si>
    <t>weight check 18 kg</t>
  </si>
  <si>
    <t>372930B3DEAE40068BC416F6B2C4AA09</t>
  </si>
  <si>
    <t>production of Galvanization layer, ACDC power module, battery charging, long-term</t>
  </si>
  <si>
    <t xml:space="preserve">assuming </t>
  </si>
  <si>
    <t>production of Cleaned terminals, screws and washers, ACDC power module, battery charging, long-term</t>
  </si>
  <si>
    <t>423BE6401C2D4402BA39A8086DA1FD09</t>
  </si>
  <si>
    <t>9BE88CEB1997403A8E7A100901AAA3BA</t>
  </si>
  <si>
    <t>so 0,05 m2 = 0,28 kg</t>
  </si>
  <si>
    <t>production of Steel terminals, screws and washers, ACDC power module, battery charging, long-term</t>
  </si>
  <si>
    <t>production of nickel in plated layer, ACDC power module, battery charging, long-term</t>
  </si>
  <si>
    <t>7B5C34E39E3E4BEB850B09538476A556</t>
  </si>
  <si>
    <t>0AB4C37C561D41E29D0BCC81A4AAAFA8</t>
  </si>
  <si>
    <t>production of copper bus bars, contacts, plates and foils, ACDC power module, battery charging, long-term</t>
  </si>
  <si>
    <t>FE12D9A354A4421E9EA13802AC9B545C</t>
  </si>
  <si>
    <t>0E369EDCA3664C36BA6D1EA31E766D25</t>
  </si>
  <si>
    <t>DBE2BD76B87D4AAA9928752BFCA17E86</t>
  </si>
  <si>
    <t>production of cleaned cable glands, ACDC power module, battery charging, long-term</t>
  </si>
  <si>
    <t>563BDF12E3EF4529A86EBE9DF54BE739</t>
  </si>
  <si>
    <t>production of brass cable glands, ACDC power module, battery charging, long-term</t>
  </si>
  <si>
    <t>FC4B0BD0EFB14C90A77451E5BF55B1EC</t>
  </si>
  <si>
    <t>production of machined casing, ACDC power module, battery charging, long-term</t>
  </si>
  <si>
    <t>DDAFF33FE4E2499BB80AB5D442D30020</t>
  </si>
  <si>
    <t>production of machined casing, mass scaled activities, ACDC power module, battery charging, long-term</t>
  </si>
  <si>
    <t>5EEAEB2CD62844359F130A29FAE0D266</t>
  </si>
  <si>
    <t>production of die cast casing parts, ACDC power module, battery charging, long-term</t>
  </si>
  <si>
    <t>E7F5271C5DF84A60924E54CD11ABE6F0</t>
  </si>
  <si>
    <t>78D12051B4D9401485EFB3C31384D0DF</t>
  </si>
  <si>
    <t>production of Power module, open, potted, ACDC power module, battery charging, long-term</t>
  </si>
  <si>
    <t>production of Lid, injection moulded, ACDC power module, battery charging, long-term</t>
  </si>
  <si>
    <t>F0CC24CD1DC24C3BA1F097C3AE81B589</t>
  </si>
  <si>
    <t>8877CBD7A846405D967353DE567D7C59</t>
  </si>
  <si>
    <t>production of potting gel layer, ACDC power module, battery charging, long-term</t>
  </si>
  <si>
    <t>production of power module, open, wire bonded, ACDC power module, battery charging, long-term</t>
  </si>
  <si>
    <t>4C71E27D769D4087B04EC67795BC36B6</t>
  </si>
  <si>
    <t>81B27DA38F5448AD8E48037DD5367A21</t>
  </si>
  <si>
    <t>production of Copper Wire, ACDC power module, battery charging, long-term</t>
  </si>
  <si>
    <t>production of baseplate module with frame, cleaned, ACDC power module, battery charging, long-term</t>
  </si>
  <si>
    <t>C94B1874C037414E909FC4A6E005EA42</t>
  </si>
  <si>
    <t>329FAB204C554A4DA7C49D226A236C8D</t>
  </si>
  <si>
    <t>production of baseplate module with frame, ACDC power module, battery charging, long-term</t>
  </si>
  <si>
    <t>08512AFD770F42AE943F662CE076AC59</t>
  </si>
  <si>
    <t>production of baseplate module without frame, cleaned, ACDC power module, battery charging, long-term</t>
  </si>
  <si>
    <t>Prodcution of frame with bonded terminals, ACDC power module, battery charging, long-term</t>
  </si>
  <si>
    <t>B335C8A9E2D545A6A5F9D570AF83B224</t>
  </si>
  <si>
    <t>51DCA0BCA5514B0DB7F5C6827A110388</t>
  </si>
  <si>
    <t>production of baseplate module without frame, ACDC power module, battery charging, long-term</t>
  </si>
  <si>
    <t>3286010E5CAA4CFEA38214CAE7774F01</t>
  </si>
  <si>
    <t>production of DCB, with IGBT chips attached, ACDC power module, battery charging, long-term</t>
  </si>
  <si>
    <t>production of baseplate, to furnace, ACDC power module, battery charging, long-term</t>
  </si>
  <si>
    <t>147787895DA44CCD85FE6207340A142B</t>
  </si>
  <si>
    <t>production of baseplate, cleaned and baked, ACDC power module, battery charging, long-term</t>
  </si>
  <si>
    <t>BD04FB99D72D42D387DAA6D5013E1777</t>
  </si>
  <si>
    <t>production of baseplate, nickel plated, ACDC power module, battery charging, long-term</t>
  </si>
  <si>
    <t>F6373A8019B24F648E0B6D5673F37900</t>
  </si>
  <si>
    <t>production of cleaned bus bars, contacts, plates and foils, ACDC power module, battery charging, long-term</t>
  </si>
  <si>
    <t>063BA0B728A24B6AB7D4FD16E2A11432</t>
  </si>
  <si>
    <t xml:space="preserve">error in their units assuming the weight and area they give corresponds - yes it seems like a high amount </t>
  </si>
  <si>
    <t>6B75E7C80BD34E08A836FC0643D176D8</t>
  </si>
  <si>
    <t>production of DCB substrate, to furnace, ACDC power module, battery charging, long-term</t>
  </si>
  <si>
    <t>production of diced IGBT chips, ACDC power module, battery charging, long-term</t>
  </si>
  <si>
    <t>4BC96EEECAFA4FA4875E925AE3DFE579</t>
  </si>
  <si>
    <t>8119B94B67BB4652B7F49AAEE1658A74</t>
  </si>
  <si>
    <t>production of DCB substrate, cleaned and baked, ACDC power module, battery charging, long-term</t>
  </si>
  <si>
    <t>BF8E10FF31124361B9FA262740B5CB20</t>
  </si>
  <si>
    <t>production of DCB, patterned, nickel plated, ACDC power module, battery charging, long-term</t>
  </si>
  <si>
    <t>1013CB6CE09A408887F7AF41FB0A5D7A</t>
  </si>
  <si>
    <t>production of DCB, patterned, ACDC power module, battery charging, long-term</t>
  </si>
  <si>
    <t>100ADBB3DF4A406B97FE422C6920FF3F</t>
  </si>
  <si>
    <t>production of DCB, before etching, ACDC power module, battery charging, long-term</t>
  </si>
  <si>
    <t>70F4E0C8C5F14E5DBECC12B7FC6726D6</t>
  </si>
  <si>
    <t>production of Alumina substrate, ACDC power module, battery charging, long-term</t>
  </si>
  <si>
    <t>D59557F6F400497B90FF13B1211E06DF</t>
  </si>
  <si>
    <t>production of DCDC power module, battery charging, long-term</t>
  </si>
  <si>
    <t>1B2098F46C1D45D891A50C0C0AA76792</t>
  </si>
  <si>
    <t>GENESIS_2040</t>
  </si>
  <si>
    <t>production of  IGBT power module, complete, DCDC power module, battery charging, long-term</t>
  </si>
  <si>
    <t>production of Galvanized terminals, screws and washers, DCDC power module, battery charging, long-term</t>
  </si>
  <si>
    <t>production of plated cable glands, DCDC power module, battery charging, long-term</t>
  </si>
  <si>
    <t>Bus bar, laminated, DCDC power module, battery charging, long-term</t>
  </si>
  <si>
    <t>weight check 14 kg</t>
  </si>
  <si>
    <t>A16637F7C2E84E568C3933F223E96FBA</t>
  </si>
  <si>
    <t>production of Galvanization layer, DCDC power module, battery charging, long-term</t>
  </si>
  <si>
    <t>assuming (see below)</t>
  </si>
  <si>
    <t>production of Cleaned terminals, screws and washers, DCDC power module, battery charging, long-term</t>
  </si>
  <si>
    <t>9239C949D8E7428EA617FADFB1293167</t>
  </si>
  <si>
    <t>47C70A686D294A6ABF643E3202E4D2F7</t>
  </si>
  <si>
    <t>so 0,29 kg screws corresponds to 0,05 m2</t>
  </si>
  <si>
    <t>production of Steel terminals, screws and washers, DCDC power module, battery charging, long-term</t>
  </si>
  <si>
    <t>production of nickel in plated layer, DCDC power module, battery charging, long-term</t>
  </si>
  <si>
    <t>A931A0F240324B9E85B06FE9B7D86DFE</t>
  </si>
  <si>
    <t>SAME SCALE!</t>
  </si>
  <si>
    <t>E6A6DE62C0624B9AA83E3EF2D117968C</t>
  </si>
  <si>
    <t>production of copper bus bars, contacts, plates and foils, DCDC power module, battery charging, long-term</t>
  </si>
  <si>
    <t>F25FF7219364473DAABA5261A2D55840</t>
  </si>
  <si>
    <t>1DE19BFAD6924123A5B7FEA6A384E96F</t>
  </si>
  <si>
    <t>same scale</t>
  </si>
  <si>
    <t>50629E07C2D54910AE7FF804E9C874B7</t>
  </si>
  <si>
    <t>production of cleaned cable glands, DCDC power module, battery charging, long-term</t>
  </si>
  <si>
    <t>2822909A68B346CDB8E578F648396E9D</t>
  </si>
  <si>
    <t>production of brass cable glands, DCDC power module, battery charging, long-term</t>
  </si>
  <si>
    <t>A3C61BAB619B40D79CDB594B3EA25199</t>
  </si>
  <si>
    <t>8C2E9EB69AB04822BC9167631795AB0A</t>
  </si>
  <si>
    <t>production of machined casing, mass scaled activities, DCDC power module, battery charging, long-term</t>
  </si>
  <si>
    <t>D48784E1EE2640B0B5B5AA2D04C74203</t>
  </si>
  <si>
    <t>production of die cast casing parts, DCDC power module, battery charging, long-term</t>
  </si>
  <si>
    <t>1F15590A182D44C3B9C41188E83AE665</t>
  </si>
  <si>
    <t>F94483F07CA6495E90717991053E8FC8</t>
  </si>
  <si>
    <t>production of Power module, open, potted, DCDC power module, battery charging, long-term</t>
  </si>
  <si>
    <t>production of Lid, injection moulded, DCDC power module, battery charging, long-term</t>
  </si>
  <si>
    <t>D5D9AF4520EC46898AEE3F05AB98A817</t>
  </si>
  <si>
    <t>849EC260F1414DECA643455510AF1869</t>
  </si>
  <si>
    <t>production of potting gel layer, DCDC power module, battery charging, long-term</t>
  </si>
  <si>
    <t>production of power module, open, wire bonded, DCDC power module, battery charging, long-term</t>
  </si>
  <si>
    <t>05F53A1129BC46A1868A8ED2B27281F7</t>
  </si>
  <si>
    <t>7C8E328146A54E4B82292365977674E1</t>
  </si>
  <si>
    <t>production of Copper Wire, DCDC power module, battery charging, long-term</t>
  </si>
  <si>
    <t>production of baseplate module with frame, cleaned, DCDC power module, battery charging, long-term</t>
  </si>
  <si>
    <t>E70E181F5FEC46609CD79C71F5250747</t>
  </si>
  <si>
    <t>4CD6E1B938A3488FBD7594D9B5243BFD</t>
  </si>
  <si>
    <t>production of baseplate module with frame, DCDC power module, battery charging, long-term</t>
  </si>
  <si>
    <t>B85E767B87264425ACD39CD4CE8E46E9</t>
  </si>
  <si>
    <t>production of baseplate module without frame, cleaned, DCDC power module, battery charging, long-term</t>
  </si>
  <si>
    <t>Prodcution of frame with bonded terminals, DCDC power module, battery charging, long-term</t>
  </si>
  <si>
    <t>FAB4906191FE401EB7757E6DA9AAEDFC</t>
  </si>
  <si>
    <t>F9C5DF9A19E548E79BF175199AE81B2A</t>
  </si>
  <si>
    <t>production of baseplate module without frame, DCDC power module, battery charging, long-term</t>
  </si>
  <si>
    <t>850794892E114FBDB48973F4B8EEED26</t>
  </si>
  <si>
    <t>production of DCB, with IGBT chips attached, DCDC power module, battery charging, long-term</t>
  </si>
  <si>
    <t>production of baseplate, to furnace, DCDC power module, battery charging, long-term</t>
  </si>
  <si>
    <t>036B09ED7B2649A5B10F4F83777AA4CF</t>
  </si>
  <si>
    <t>production of baseplate, cleaned and baked, DCDC power module, battery charging, long-term</t>
  </si>
  <si>
    <t>5CA5EAEA1EAD4C27B45F8FC2B6BE3598</t>
  </si>
  <si>
    <t>production of baseplate, nickel plated, DCDC power module, battery charging, long-term</t>
  </si>
  <si>
    <t>07F112CF928940DAA5889C488BCBA7D4</t>
  </si>
  <si>
    <t>production of cleaned bus bars, contacts, plates and foils, DCDC power module, battery charging, long-term</t>
  </si>
  <si>
    <t>53CAAF836FD14130AD410E14E8A57FCF</t>
  </si>
  <si>
    <t>error in their units assuming the weight and area they give corresponds - yes it seems like a lot</t>
  </si>
  <si>
    <t>43B048207CA74396B7FB6A752D9AE6E5</t>
  </si>
  <si>
    <t>production of DCB substrate, to furnace, DCDC power module, battery charging, long-term</t>
  </si>
  <si>
    <t>production of diced IGBT chips, DCDC power module, battery charging, long-term</t>
  </si>
  <si>
    <t>01DFA428803149C6AF39778236E0C5F3</t>
  </si>
  <si>
    <t>BAD94C7D96D74568AD2DE8055A9384A3</t>
  </si>
  <si>
    <t>production of DCB substrate, cleaned and baked, DCDC power module, battery charging, long-term</t>
  </si>
  <si>
    <t>C8001308CEC64FED806644BEEBAC12F7</t>
  </si>
  <si>
    <t>production of DCB, patterned, nickel plated, DCDC power module, battery charging, long-term</t>
  </si>
  <si>
    <t>81C580D3E78248F0B3BDBE320E8A69AA</t>
  </si>
  <si>
    <t>production of DCB, patterned, DCDC power module, battery charging, long-term</t>
  </si>
  <si>
    <t>48F94DDFE1594ACC9849577AF6A174EC</t>
  </si>
  <si>
    <t>production of DCB, before etching, DCDC power module, battery charging, long-term</t>
  </si>
  <si>
    <t>5AB6E4A90760472393181EFBFD11CAFA</t>
  </si>
  <si>
    <t>production of Alumina substrate, DCDC power module, battery charging, long-term</t>
  </si>
  <si>
    <t>4E1D6C55143440F697995A26CB5FF682</t>
  </si>
  <si>
    <t>B6D66AACBB2B41AFB9172182356FD3E0</t>
  </si>
  <si>
    <t>decomissioning master process for aiframe, powerplant and power electronics and drives</t>
  </si>
  <si>
    <t>h2 EoL, PEMFC-bat, Long-Term</t>
  </si>
  <si>
    <t>lifetime=20y in this long term case</t>
  </si>
  <si>
    <t>treatment of circuit components, EoL power electronics, PEMFC-bat, Long-Term</t>
  </si>
  <si>
    <t>power electronics EoL, PEMFC-bat, Long-Term</t>
  </si>
  <si>
    <t>0B026F4BD4F54D3999A0054B81ADD1C4</t>
  </si>
  <si>
    <t>EoL power electronics, PEMFC-bat, Long-Term</t>
  </si>
  <si>
    <t>treatment of metals, EoL power electronics, PEMFC-bat, Long-Term</t>
  </si>
  <si>
    <t>1FD9B4C6AFBA4979A474C0697BCFAE6A</t>
  </si>
  <si>
    <t>treatment of plastics, EoL power electronics, PEMFC-bat, Long-Term</t>
  </si>
  <si>
    <t>4031B47C5AEC45189426675448F2E0FA</t>
  </si>
  <si>
    <t>treatment of remaining material components, EoL power electronics, PEMFC-bat, Long-Term</t>
  </si>
  <si>
    <t>184F4FC33CC54433838A7CD4C2CC16E1</t>
  </si>
  <si>
    <t>treatment of power electronics, EoL power electronics, PEMFC-bat, Long-Term</t>
  </si>
  <si>
    <t>D60415670E9F40D08623827FCCA37E72</t>
  </si>
  <si>
    <t>treatment of steel, motors and drives, PEMFC-bat, Long-Term</t>
  </si>
  <si>
    <t>motors and drives EoL, PEMFC-bat, Long-Term</t>
  </si>
  <si>
    <t>ABF346F00A6F46258F2CFE729FB3358F</t>
  </si>
  <si>
    <t>motors and drives, PEMFC-bat, Long-Term</t>
  </si>
  <si>
    <t>treatment of aluminium, motors and drives, PEMFC-bat, Long-Term</t>
  </si>
  <si>
    <t>40CA8656733A480AB91BC69D6DFFF2E3</t>
  </si>
  <si>
    <t>assuming same EoL percentages as specified for engine for steel in pamela project</t>
  </si>
  <si>
    <t>treatment of copper, motors and drives, PEMFC-bat, Long-Term</t>
  </si>
  <si>
    <t>FD35AD3F57D7498D88F46C579FC6BCD1</t>
  </si>
  <si>
    <t>treatment of permanent magnet, motors and drives, PEMFC-bat, Long-Term</t>
  </si>
  <si>
    <t>B6C0C0BB58FB4F4C9E90D75B179CBB2F</t>
  </si>
  <si>
    <t>rough assumptions based on https://pubs.acs.org/doi/full/10.1021/acs.est.7b05442#  processing (shredding and compressing, then reuse of 50-80%) rest =slag</t>
  </si>
  <si>
    <t>treatment of non-Fe-Co-metals, from used Li-ion battery, pyrometallurgical processing</t>
  </si>
  <si>
    <t>non-Fe-Co-metals, from used Li-ion battery, pyrometallurgical processing</t>
  </si>
  <si>
    <t>proxy no rare earch metal treatment</t>
  </si>
  <si>
    <t>0,65 from articlearound 65% is eventually reused for magnets</t>
  </si>
  <si>
    <t>market for nickel smelter slag</t>
  </si>
  <si>
    <t>rest: from article rest is sent to slag</t>
  </si>
  <si>
    <t>treatment of motor, motors and drives, PEMFC-bat, Long-Term</t>
  </si>
  <si>
    <t>7F8DF4F779774A6A980683B2E87E54CD</t>
  </si>
  <si>
    <t>motors EoL</t>
  </si>
  <si>
    <t>treatment of motors and drives, PEMFC-bat, Long-Term</t>
  </si>
  <si>
    <t>4ADA42CF1E5E42AB9DCCA5E275C4D7A1</t>
  </si>
  <si>
    <t>EoL for motors and drives</t>
  </si>
  <si>
    <t>treatment of titanium,powerplant, PEMFC-bat, Long-Term</t>
  </si>
  <si>
    <t>powerplant EoL, PEMFC-bat, Long-Term</t>
  </si>
  <si>
    <t>B044B32CC2B64A4A80D7E73B86A01E4B</t>
  </si>
  <si>
    <t>from pamela: 50% recycled and 50% landfilled</t>
  </si>
  <si>
    <t>assumed proxy LHV: 114MJ/kg, Rupcic et al. https://doi.org/10.1016/j.cirp.2022.04.047 , 50% goes to be melted and recycled</t>
  </si>
  <si>
    <t>60% el</t>
  </si>
  <si>
    <t>40% natural gas</t>
  </si>
  <si>
    <t>remaining 50% slag to landfill</t>
  </si>
  <si>
    <t>treatment of CFRP,powerplant, PEMFC-bat, Long-Term</t>
  </si>
  <si>
    <t>B9533E0B39AE4C48AD730236FB2E8F8A</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</si>
  <si>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</si>
  <si>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</si>
  <si>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</si>
  <si>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</si>
  <si>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</si>
  <si>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PEMFC-bat, Long-Term</t>
  </si>
  <si>
    <t>E3E554EBB8CF4FF89DD0356901E104C2</t>
  </si>
  <si>
    <t>from pamela: (using aluminium in "all materials") 85% recycled and 15% landfilled</t>
  </si>
  <si>
    <t>treatment of iron-nickel chromium alloy,powerplant, PEMFC-bat, Long-Term</t>
  </si>
  <si>
    <t>E958712EE89B4711B06FF76F6F2A02C5</t>
  </si>
  <si>
    <t>treatment of nickel,powerplant, PEMFC-bat, Long-Term</t>
  </si>
  <si>
    <t>75380D31CAEA47558EDFDF1B1FC913EF</t>
  </si>
  <si>
    <t>treatment of copper,powerplant, PEMFC-bat, Long-Term</t>
  </si>
  <si>
    <t>42F42EE6B642457DB2C63446FC85328C</t>
  </si>
  <si>
    <t>treatment of magnesium alloy powerplant, PEMFC-bat, Long-Term</t>
  </si>
  <si>
    <t>F10DF11562804252BC5EC11A0283BF97</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</si>
  <si>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</si>
  <si>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</si>
  <si>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</si>
  <si>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</si>
  <si>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PEMFC-bat, Long-Term</t>
  </si>
  <si>
    <t>4D6BC93D39274CCFA3690EC4A42337EE</t>
  </si>
  <si>
    <t>no el or heat recovery</t>
  </si>
  <si>
    <t>treatment of powerplant, PEMFC-bat, Long-Term</t>
  </si>
  <si>
    <t>F9F4C525E53441F699FA491E27840F1D</t>
  </si>
  <si>
    <t>treatment of aluminium, wing, airframe, PEMFC-bat, Long-Term</t>
  </si>
  <si>
    <t>8EDF1CD4CB824C559D8DBB719690D429</t>
  </si>
  <si>
    <t>airframe EoL, same for all configs</t>
  </si>
  <si>
    <t>airframe EoL, PEMFC-bat, Long-Term</t>
  </si>
  <si>
    <t>assuming % for wing aluminium -project Pamela</t>
  </si>
  <si>
    <t>treatment of biofiber, wing, airframe, PEMFC-bat, Long-Term</t>
  </si>
  <si>
    <t>B7339DE5262440A4AD1A557C8A8796E3</t>
  </si>
  <si>
    <t>assuming % for wing composites -project Pamela</t>
  </si>
  <si>
    <t>heat recovery from plastic , We assume 50% of electricity recovery from incinertion LHV = 34,78 MJ/kg</t>
  </si>
  <si>
    <t>treatment of steel, wing, airframe, PEMFC-bat, Long-Term</t>
  </si>
  <si>
    <t>47EF227B71104660AB98537466BE061A</t>
  </si>
  <si>
    <t>assuming % for wing steel -project Pamela</t>
  </si>
  <si>
    <t>treatment of titanium, wing, airframe, PEMFC-bat, Long-Term</t>
  </si>
  <si>
    <t>233A2413C93B4CE38B838D5008083DA3</t>
  </si>
  <si>
    <t>required el from rupcic et al.</t>
  </si>
  <si>
    <t>required heat from Rupcic et al.</t>
  </si>
  <si>
    <t>treatment of aluminium, tail, airframe, PEMFC-bat, Long-Term</t>
  </si>
  <si>
    <t>5FAB4C14ED0F4F458376D259C79BA1DF</t>
  </si>
  <si>
    <t>assuming % for tail aluminium -project Pamela</t>
  </si>
  <si>
    <t>treatment of composites, tail, airframe, PEMFC-bat, Long-Term</t>
  </si>
  <si>
    <t>5B7E06018AC14EB4917CB720560F5863</t>
  </si>
  <si>
    <t>airframe EoL, works for CFRP and GFRP, same for all configs</t>
  </si>
  <si>
    <t>assuming % for stabilising part composites -project Pamela</t>
  </si>
  <si>
    <t>treatment of aluminium, fuselage, airframe, PEMFC-bat, Long-Term</t>
  </si>
  <si>
    <t>658A20BA28E2444F968FC8A0DC63C3D2</t>
  </si>
  <si>
    <t>assuming % for fuselage aluminium -project Pamela</t>
  </si>
  <si>
    <t>treatment of composites, fuselage, airframe, PEMFC-bat, Long-Term</t>
  </si>
  <si>
    <t>3743D097234C45D4AA40095D8DF09AF0</t>
  </si>
  <si>
    <t>treatment of steel, fuselage, airframe, PEMFC-bat, Long-Term</t>
  </si>
  <si>
    <t>F3A627FF87494DA28C229F2937C73D72</t>
  </si>
  <si>
    <t>treatment of titanium, fuselage, airframe, PEMFC-bat, Long-Term</t>
  </si>
  <si>
    <t>81EBB9FA7B2A43A88FB376D62DBA1172</t>
  </si>
  <si>
    <t>needed el</t>
  </si>
  <si>
    <t>assumed proxy LHV: 114MJ/kg, Rupcic et al. https://doi.org/10.1016/j.cirp.2022.04.047</t>
  </si>
  <si>
    <t>needed heat</t>
  </si>
  <si>
    <t xml:space="preserve">assumed proxy LHV: 114MJ/kg, Rupcic et al. https://doi.org/10.1016/j.cirp.2022.04.047 , </t>
  </si>
  <si>
    <t>slag to landfill</t>
  </si>
  <si>
    <t>treatment of system, frunishing and, operative equipment, airframe, PEMFC-bat, Long-Term</t>
  </si>
  <si>
    <t>D0E6E7156EFD41D2A1A11FC9A81D9683</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</si>
  <si>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</si>
  <si>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</si>
  <si>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</si>
  <si>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</si>
  <si>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</si>
  <si>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</si>
  <si>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</si>
  <si>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titanium</t>
  </si>
  <si>
    <t>treatment wing , airframe, PEMFC-bat, Long-Term</t>
  </si>
  <si>
    <t>B5BE329383D0477F99A61270109AC660</t>
  </si>
  <si>
    <t>airframe EoL, changes for different config</t>
  </si>
  <si>
    <t>treatment tail , airframe, PEMFC-bat, Long-Term</t>
  </si>
  <si>
    <t>2D5FCB68071B49EAA7A9F41FABCC8695</t>
  </si>
  <si>
    <t>CFRP</t>
  </si>
  <si>
    <t>GFRP</t>
  </si>
  <si>
    <t>treatment fuselage , airframe, PEMFC-bat, Long-Term</t>
  </si>
  <si>
    <t>3B7B989465704AE5BC0719356C071C55</t>
  </si>
  <si>
    <t>treatment systems, airframe, PEMFC-bat, Long-Term</t>
  </si>
  <si>
    <t>5380784B90DB4332B41B56C0C894C697</t>
  </si>
  <si>
    <t>assuming same percentages as for fuselage</t>
  </si>
  <si>
    <t>assuming same tratment for copper as in powerplant</t>
  </si>
  <si>
    <t>treatment of airframe , PEMFC-bat, Long-Term</t>
  </si>
  <si>
    <t>E57BFF287EAF440B9BBAD3397A9A09C0</t>
  </si>
  <si>
    <t xml:space="preserve">  </t>
  </si>
  <si>
    <t>treatment of steel, H2_storage EoL, PEMFC-bat, Long-Term</t>
  </si>
  <si>
    <t>80DAD23CDEAD4D9A8547722E04F55D09</t>
  </si>
  <si>
    <t>treatment of CFRP, H2 storage EoL,PEMFC-bat, Long-Term</t>
  </si>
  <si>
    <t>23B84D0863F1466A9C4C254826E9AABC</t>
  </si>
  <si>
    <t>treatment of aluminium, H2 storage EoL,PEMFC-bat, Long-Term</t>
  </si>
  <si>
    <t>7F6C9B0241CA4D95AD7347A3889561DB</t>
  </si>
  <si>
    <t>..</t>
  </si>
  <si>
    <t>treatment of H2 storage on-board</t>
  </si>
  <si>
    <t>C456DE67123747CDB11B5455DB25D30C</t>
  </si>
  <si>
    <t>kraft paper+ paint</t>
  </si>
  <si>
    <t>perlite</t>
  </si>
  <si>
    <t>treatment of aluminium,PEMFC EoL, PEMFC-bat, Long-Term</t>
  </si>
  <si>
    <t>8FB8AF169E244A8199701A07F89ABA40</t>
  </si>
  <si>
    <t>PEMFC EoL</t>
  </si>
  <si>
    <t>PEMFC EoL, PEMFC-bat, Long-Term</t>
  </si>
  <si>
    <t>treatment of copper,PEMFC EoL, PEMFC-bat, Long-Term</t>
  </si>
  <si>
    <t>A110ED41902B4D2E8CDD3433C3C2A0FD</t>
  </si>
  <si>
    <t>treatment of steel,PEMFC EoL, PEMFC-bat, Long-Term</t>
  </si>
  <si>
    <t>FF64A7E082F44102A758CB52142C26F1</t>
  </si>
  <si>
    <t>treatment of composites,PEMFC EoL, PEMFC-bat, Long-Term</t>
  </si>
  <si>
    <t>718B6D26C6654F3485264D0EE619E13F</t>
  </si>
  <si>
    <t>PEMFC EoL, for plastics, rubber, nylon and silicone</t>
  </si>
  <si>
    <t>treatment of graphite,PEMFC EoL, PEMFC-bat, Long-Term</t>
  </si>
  <si>
    <t>44209EEC68BF4E5EB0E23CE1D2D8CF5E</t>
  </si>
  <si>
    <t>treatment of electronics ,PEMFC EoL, PEMFC-bat, Long-Term</t>
  </si>
  <si>
    <t>1457A7D80D0542589C68B1E6CAFEC300</t>
  </si>
  <si>
    <t>treatment of PEMFC cell ,PEMFC EoL, PEMFC-bat, Long-Term</t>
  </si>
  <si>
    <t>CF9C383AD8884581B3140DE8285CE900</t>
  </si>
  <si>
    <t>market for aluminium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</si>
</sst>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3" formatCode="_-* #,##0.00_-;\-* #,##0.00_-;_-* &quot;-&quot;??_-;_-@_-"/>
    <numFmt numFmtId="164" formatCode="0.0"/>
    <numFmt numFmtId="165" formatCode="0.0E+00"/>
    <numFmt numFmtId="166" formatCode="0.000"/>
    <numFmt numFmtId="167" formatCode="0E+00"/>
    <numFmt numFmtId="168" formatCode="0.0000"/>
    <numFmt numFmtId="169" formatCode="_-* #,##0.00000000_-;\-* #,##0.00000000_-;_-* &quot;-&quot;??_-;_-@_-"/>
    <numFmt numFmtId="170" formatCode="_-* #,##0.0000_-;\-* #,##0.0000_-;_-* &quot;-&quot;??_-;_-@_-"/>
    <numFmt numFmtId="171" formatCode="0.00000"/>
    <numFmt numFmtId="172" formatCode="_-* #,##0.0000000_-;\-* #,##0.0000000_-;_-* &quot;-&quot;??_-;_-@_-"/>
  </numFmts>
  <fonts count="55">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i/>
      <sz val="10"/>
      <color rgb="FFFF0000"/>
      <name val="Calibri"/>
      <family val="2"/>
      <scheme val="minor"/>
    </font>
    <font>
      <b/>
      <sz val="10"/>
      <color theme="1"/>
      <name val="Calibri"/>
      <family val="2"/>
      <scheme val="minor"/>
    </font>
    <font>
      <sz val="10"/>
      <color theme="1"/>
      <name val="Var(--jp-code-font-family)"/>
    </font>
    <font>
      <sz val="10"/>
      <color theme="1"/>
      <name val="Arial Unicode MS"/>
    </font>
    <font>
      <sz val="11"/>
      <color rgb="FF000000"/>
      <name val="Calibri"/>
      <family val="2"/>
      <scheme val="minor"/>
    </font>
    <font>
      <sz val="11"/>
      <color theme="1"/>
      <name val="Times New Roman"/>
      <family val="1"/>
    </font>
    <font>
      <sz val="11"/>
      <name val="Arial"/>
      <family val="2"/>
    </font>
    <font>
      <sz val="11"/>
      <color theme="1"/>
      <name val="Arial"/>
      <family val="2"/>
    </font>
    <font>
      <strike/>
      <sz val="11"/>
      <color theme="1"/>
      <name val="Calibri"/>
      <family val="2"/>
      <scheme val="minor"/>
    </font>
    <font>
      <b/>
      <sz val="11"/>
      <color rgb="FF000000"/>
      <name val="Calibri"/>
      <family val="2"/>
      <scheme val="minor"/>
    </font>
    <font>
      <i/>
      <sz val="11"/>
      <color theme="1"/>
      <name val="Calibri"/>
      <family val="2"/>
    </font>
    <font>
      <i/>
      <sz val="11"/>
      <color rgb="FF000000"/>
      <name val="Calibri"/>
      <family val="2"/>
      <scheme val="minor"/>
    </font>
    <font>
      <sz val="10"/>
      <name val="Var(--jp-code-font-family)"/>
    </font>
    <font>
      <b/>
      <sz val="12"/>
      <name val="Calibri"/>
      <family val="2"/>
      <scheme val="minor"/>
    </font>
    <font>
      <b/>
      <sz val="10"/>
      <color theme="1"/>
      <name val="Var(--jp-code-font-family)"/>
    </font>
    <font>
      <sz val="11"/>
      <color rgb="FF222222"/>
      <name val="Helvetica LT Pro Light"/>
      <family val="2"/>
    </font>
    <font>
      <sz val="11"/>
      <color rgb="FF000000"/>
      <name val="Calibri"/>
      <scheme val="minor"/>
    </font>
    <font>
      <b/>
      <sz val="11"/>
      <name val="Calibri"/>
      <family val="2"/>
      <scheme val="minor"/>
    </font>
    <font>
      <b/>
      <sz val="12"/>
      <color rgb="FF000000"/>
      <name val="Calibri"/>
      <family val="2"/>
      <scheme val="minor"/>
    </font>
    <font>
      <sz val="12"/>
      <color rgb="FF000000"/>
      <name val="Calibri"/>
      <family val="2"/>
      <scheme val="minor"/>
    </font>
    <font>
      <sz val="10"/>
      <color rgb="FF000000"/>
      <name val="Var(--jp-code-font-family)"/>
    </font>
    <font>
      <sz val="11"/>
      <color rgb="FF000000"/>
      <name val="Times New Roman"/>
      <family val="1"/>
    </font>
    <font>
      <sz val="10"/>
      <color rgb="FF000000"/>
      <name val="Calibri"/>
      <family val="2"/>
      <scheme val="minor"/>
    </font>
    <font>
      <sz val="11"/>
      <color rgb="FF000000"/>
      <name val="Calibri"/>
      <family val="2"/>
    </font>
    <font>
      <sz val="11"/>
      <color rgb="FF222222"/>
      <name val="Calibri"/>
      <family val="2"/>
      <scheme val="minor"/>
    </font>
    <font>
      <sz val="10"/>
      <name val="Calibri"/>
      <family val="2"/>
    </font>
    <font>
      <b/>
      <sz val="11"/>
      <color rgb="FFFF0000"/>
      <name val="Calibri"/>
      <family val="2"/>
      <scheme val="minor"/>
    </font>
    <font>
      <sz val="12"/>
      <color rgb="FF000000"/>
      <name val="Calibri"/>
      <family val="2"/>
    </font>
    <font>
      <sz val="9"/>
      <color rgb="FF333333"/>
      <name val="Segoe UI"/>
      <family val="2"/>
    </font>
    <font>
      <sz val="11"/>
      <color rgb="FF000000"/>
      <name val="Arial"/>
      <family val="2"/>
    </font>
    <font>
      <sz val="10"/>
      <color rgb="FF333333"/>
      <name val="Arial"/>
      <family val="2"/>
    </font>
    <font>
      <sz val="11"/>
      <color rgb="FF444444"/>
      <name val="Calibri"/>
      <family val="2"/>
      <scheme val="minor"/>
    </font>
    <font>
      <b/>
      <i/>
      <sz val="11"/>
      <color rgb="FF000000"/>
      <name val="Calibri"/>
      <family val="2"/>
      <scheme val="minor"/>
    </font>
    <font>
      <sz val="10"/>
      <name val="Calibri"/>
      <family val="2"/>
      <scheme val="minor"/>
    </font>
    <font>
      <b/>
      <sz val="10"/>
      <color rgb="FF000000"/>
      <name val="Calibri"/>
      <family val="2"/>
      <scheme val="minor"/>
    </font>
    <font>
      <sz val="10"/>
      <color rgb="FFFF0000"/>
      <name val="Calibri"/>
      <family val="2"/>
      <scheme val="minor"/>
    </font>
    <font>
      <i/>
      <sz val="10"/>
      <color theme="1"/>
      <name val="Calibri"/>
      <family val="2"/>
    </font>
    <font>
      <i/>
      <sz val="10"/>
      <color rgb="FF000000"/>
      <name val="Calibri"/>
      <family val="2"/>
      <scheme val="minor"/>
    </font>
    <font>
      <b/>
      <sz val="10"/>
      <name val="Calibri"/>
      <family val="2"/>
      <scheme val="minor"/>
    </font>
    <font>
      <sz val="10"/>
      <color rgb="FF222222"/>
      <name val="Calibri"/>
      <family val="2"/>
      <scheme val="minor"/>
    </font>
    <font>
      <sz val="10"/>
      <color rgb="FF222222"/>
      <name val="Helvetica LT Pro Light"/>
      <family val="2"/>
    </font>
    <font>
      <i/>
      <sz val="11"/>
      <color rgb="FF000000"/>
      <name val="Calibri"/>
      <scheme val="minor"/>
    </font>
    <font>
      <b/>
      <sz val="10"/>
      <color rgb="FFFF0000"/>
      <name val="Calibri"/>
      <family val="2"/>
      <scheme val="minor"/>
    </font>
  </fonts>
  <fills count="35">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rgb="FFFFC000"/>
      </patternFill>
    </fill>
    <fill>
      <patternFill patternType="solid">
        <fgColor theme="6"/>
        <bgColor indexed="64"/>
      </patternFill>
    </fill>
    <fill>
      <patternFill patternType="solid">
        <fgColor rgb="FFFFFFFF"/>
        <bgColor rgb="FFFFFFFF"/>
      </patternFill>
    </fill>
    <fill>
      <patternFill patternType="solid">
        <fgColor theme="8" tint="0.39997558519241921"/>
        <bgColor indexed="64"/>
      </patternFill>
    </fill>
    <fill>
      <patternFill patternType="solid">
        <fgColor theme="9"/>
        <bgColor indexed="64"/>
      </patternFill>
    </fill>
    <fill>
      <patternFill patternType="solid">
        <fgColor rgb="FF4BACC6"/>
        <bgColor rgb="FF4BACC6"/>
      </patternFill>
    </fill>
    <fill>
      <patternFill patternType="solid">
        <fgColor rgb="FFB8CCE4"/>
        <bgColor rgb="FFB8CCE4"/>
      </patternFill>
    </fill>
    <fill>
      <patternFill patternType="solid">
        <fgColor rgb="FFFFC000"/>
        <bgColor indexed="64"/>
      </patternFill>
    </fill>
    <fill>
      <patternFill patternType="solid">
        <fgColor rgb="FF92D050"/>
        <bgColor rgb="FF92D050"/>
      </patternFill>
    </fill>
    <fill>
      <patternFill patternType="solid">
        <fgColor rgb="FFFF0000"/>
        <bgColor rgb="FF000000"/>
      </patternFill>
    </fill>
    <fill>
      <patternFill patternType="solid">
        <fgColor rgb="FFFF0000"/>
        <bgColor indexed="64"/>
      </patternFill>
    </fill>
    <fill>
      <patternFill patternType="solid">
        <fgColor rgb="FFFFFFFF"/>
        <bgColor rgb="FF000000"/>
      </patternFill>
    </fill>
    <fill>
      <patternFill patternType="solid">
        <fgColor theme="9" tint="0.79998168889431442"/>
        <bgColor indexed="64"/>
      </patternFill>
    </fill>
    <fill>
      <patternFill patternType="solid">
        <fgColor theme="6" tint="0.79998168889431442"/>
        <bgColor indexed="64"/>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EFDECD"/>
        <bgColor rgb="FFD9D9D9"/>
      </patternFill>
    </fill>
    <fill>
      <patternFill patternType="solid">
        <fgColor theme="0"/>
        <bgColor rgb="FFD9D9D9"/>
      </patternFill>
    </fill>
    <fill>
      <patternFill patternType="solid">
        <fgColor theme="5"/>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BDD7EE"/>
        <bgColor rgb="FF000000"/>
      </patternFill>
    </fill>
    <fill>
      <patternFill patternType="solid">
        <fgColor theme="7"/>
        <bgColor indexed="64"/>
      </patternFill>
    </fill>
    <fill>
      <patternFill patternType="solid">
        <fgColor theme="8"/>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FF00"/>
        <bgColor rgb="FFFFFFFF"/>
      </patternFill>
    </fill>
    <fill>
      <patternFill patternType="solid">
        <fgColor theme="6" tint="0.39997558519241921"/>
        <bgColor rgb="FFFFFFFF"/>
      </patternFill>
    </fill>
    <fill>
      <patternFill patternType="solid">
        <fgColor theme="9" tint="0.59999389629810485"/>
        <bgColor indexed="64"/>
      </patternFill>
    </fill>
  </fills>
  <borders count="35">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diagonal/>
    </border>
    <border>
      <left/>
      <right/>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s>
  <cellStyleXfs count="3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10" fillId="0" borderId="0" applyFont="0" applyFill="0" applyBorder="0" applyAlignment="0" applyProtection="0"/>
  </cellStyleXfs>
  <cellXfs count="510">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0" fontId="6" fillId="0" borderId="0" xfId="0" applyFont="1"/>
    <xf numFmtId="2" fontId="0" fillId="0" borderId="0" xfId="0" applyNumberFormat="1"/>
    <xf numFmtId="0" fontId="0" fillId="0" borderId="0" xfId="0" applyAlignment="1">
      <alignment vertical="center"/>
    </xf>
    <xf numFmtId="0" fontId="5" fillId="0" borderId="0" xfId="0" applyFont="1" applyAlignment="1">
      <alignment vertical="center"/>
    </xf>
    <xf numFmtId="0" fontId="2" fillId="0" borderId="0" xfId="0" applyFont="1" applyAlignment="1">
      <alignment vertical="center"/>
    </xf>
    <xf numFmtId="0" fontId="8" fillId="0" borderId="0" xfId="0" applyFont="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0" borderId="2" xfId="0" applyBorder="1" applyAlignment="1">
      <alignment vertical="center"/>
    </xf>
    <xf numFmtId="0" fontId="13" fillId="0" borderId="3" xfId="0" applyFont="1" applyBorder="1" applyAlignment="1">
      <alignment horizontal="center" vertical="center"/>
    </xf>
    <xf numFmtId="0" fontId="13" fillId="0" borderId="0" xfId="0" applyFont="1" applyAlignment="1">
      <alignment horizontal="center" vertical="center"/>
    </xf>
    <xf numFmtId="0" fontId="13" fillId="0" borderId="5" xfId="0" applyFont="1" applyBorder="1" applyAlignment="1">
      <alignment horizontal="center" vertical="center"/>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2" fontId="8" fillId="0" borderId="0" xfId="0" applyNumberFormat="1" applyFont="1" applyAlignment="1">
      <alignment vertical="center"/>
    </xf>
    <xf numFmtId="1" fontId="8" fillId="0" borderId="0" xfId="0" applyNumberFormat="1" applyFont="1" applyAlignment="1">
      <alignment vertical="center"/>
    </xf>
    <xf numFmtId="0" fontId="8" fillId="0" borderId="5" xfId="0" applyFont="1" applyBorder="1" applyAlignment="1">
      <alignment vertical="center"/>
    </xf>
    <xf numFmtId="0" fontId="8" fillId="0" borderId="8" xfId="0" applyFont="1" applyBorder="1" applyAlignment="1">
      <alignment vertical="center"/>
    </xf>
    <xf numFmtId="0" fontId="8" fillId="0" borderId="6" xfId="0" applyFont="1" applyBorder="1" applyAlignment="1">
      <alignment vertical="center"/>
    </xf>
    <xf numFmtId="0" fontId="8" fillId="3" borderId="0" xfId="0" applyFont="1" applyFill="1" applyAlignment="1">
      <alignment vertical="center"/>
    </xf>
    <xf numFmtId="0" fontId="8" fillId="3" borderId="0" xfId="0" applyFont="1" applyFill="1" applyAlignment="1">
      <alignment horizontal="left" vertical="center"/>
    </xf>
    <xf numFmtId="0" fontId="13" fillId="0" borderId="9" xfId="0" applyFont="1" applyBorder="1" applyAlignment="1">
      <alignment horizontal="center" vertical="center"/>
    </xf>
    <xf numFmtId="0" fontId="8" fillId="0" borderId="10" xfId="0" applyFont="1" applyBorder="1" applyAlignment="1">
      <alignment horizontal="center" vertical="center"/>
    </xf>
    <xf numFmtId="0" fontId="0" fillId="4" borderId="0" xfId="0" applyFill="1"/>
    <xf numFmtId="0" fontId="5" fillId="4" borderId="0" xfId="0" applyFont="1" applyFill="1"/>
    <xf numFmtId="0" fontId="2" fillId="4" borderId="0" xfId="0" applyFont="1" applyFill="1"/>
    <xf numFmtId="0" fontId="2" fillId="4" borderId="2" xfId="0" applyFont="1" applyFill="1" applyBorder="1"/>
    <xf numFmtId="0" fontId="5" fillId="4" borderId="2" xfId="0" applyFont="1" applyFill="1" applyBorder="1"/>
    <xf numFmtId="0" fontId="0" fillId="4" borderId="2" xfId="0" applyFill="1" applyBorder="1"/>
    <xf numFmtId="0" fontId="1" fillId="4" borderId="0" xfId="0" applyFont="1" applyFill="1"/>
    <xf numFmtId="0" fontId="14" fillId="4" borderId="0" xfId="0" applyFont="1" applyFill="1" applyAlignment="1">
      <alignment horizontal="left" vertical="center"/>
    </xf>
    <xf numFmtId="0" fontId="15" fillId="0" borderId="0" xfId="0" applyFont="1" applyAlignment="1">
      <alignment vertical="center"/>
    </xf>
    <xf numFmtId="0" fontId="16" fillId="0" borderId="0" xfId="0" applyFont="1"/>
    <xf numFmtId="0" fontId="17" fillId="4" borderId="0" xfId="0" applyFont="1" applyFill="1"/>
    <xf numFmtId="0" fontId="18" fillId="4" borderId="0" xfId="0" applyFont="1" applyFill="1"/>
    <xf numFmtId="0" fontId="19" fillId="4" borderId="0" xfId="0" applyFont="1" applyFill="1"/>
    <xf numFmtId="0" fontId="17" fillId="0" borderId="0" xfId="0" applyFont="1"/>
    <xf numFmtId="0" fontId="6" fillId="4" borderId="0" xfId="0" applyFont="1" applyFill="1"/>
    <xf numFmtId="0" fontId="18" fillId="0" borderId="0" xfId="0" applyFont="1"/>
    <xf numFmtId="0" fontId="20" fillId="4" borderId="0" xfId="0" applyFont="1" applyFill="1"/>
    <xf numFmtId="0" fontId="2" fillId="0" borderId="1" xfId="0" applyFont="1" applyBorder="1"/>
    <xf numFmtId="0" fontId="2" fillId="0" borderId="2" xfId="0" applyFont="1" applyBorder="1"/>
    <xf numFmtId="0" fontId="5" fillId="0" borderId="2" xfId="0" applyFont="1" applyBorder="1"/>
    <xf numFmtId="0" fontId="0" fillId="0" borderId="2" xfId="0" applyBorder="1"/>
    <xf numFmtId="0" fontId="0" fillId="0" borderId="3" xfId="0" applyBorder="1"/>
    <xf numFmtId="0" fontId="5" fillId="0" borderId="0" xfId="0" applyFont="1"/>
    <xf numFmtId="0" fontId="0" fillId="0" borderId="0" xfId="0" applyAlignment="1">
      <alignment wrapText="1"/>
    </xf>
    <xf numFmtId="0" fontId="0" fillId="0" borderId="0" xfId="0" applyAlignment="1">
      <alignment horizontal="left" vertical="center"/>
    </xf>
    <xf numFmtId="0" fontId="2" fillId="0" borderId="3" xfId="0" applyFont="1" applyBorder="1"/>
    <xf numFmtId="0" fontId="1" fillId="0" borderId="3" xfId="0" applyFont="1" applyBorder="1"/>
    <xf numFmtId="0" fontId="21" fillId="0" borderId="0" xfId="0" applyFont="1"/>
    <xf numFmtId="0" fontId="0" fillId="5" borderId="11" xfId="0" applyFill="1" applyBorder="1"/>
    <xf numFmtId="164" fontId="0" fillId="5" borderId="11" xfId="0" applyNumberFormat="1" applyFill="1" applyBorder="1" applyAlignment="1">
      <alignment horizontal="center"/>
    </xf>
    <xf numFmtId="0" fontId="0" fillId="5" borderId="12" xfId="0" applyFill="1" applyBorder="1"/>
    <xf numFmtId="164" fontId="0" fillId="5" borderId="12" xfId="0" applyNumberFormat="1" applyFill="1" applyBorder="1" applyAlignment="1">
      <alignment horizontal="center"/>
    </xf>
    <xf numFmtId="1" fontId="0" fillId="5" borderId="12" xfId="0" applyNumberFormat="1" applyFill="1" applyBorder="1" applyAlignment="1">
      <alignment horizontal="center"/>
    </xf>
    <xf numFmtId="1" fontId="0" fillId="5" borderId="11" xfId="0" applyNumberFormat="1" applyFill="1" applyBorder="1" applyAlignment="1">
      <alignment horizontal="center"/>
    </xf>
    <xf numFmtId="0" fontId="11" fillId="0" borderId="0" xfId="0" applyFont="1"/>
    <xf numFmtId="0" fontId="22" fillId="0" borderId="11" xfId="0" applyFont="1" applyBorder="1" applyAlignment="1">
      <alignment horizontal="left" vertical="top" wrapText="1"/>
    </xf>
    <xf numFmtId="165" fontId="22" fillId="0" borderId="11" xfId="0" applyNumberFormat="1" applyFont="1" applyBorder="1" applyAlignment="1">
      <alignment horizontal="center" vertical="top" wrapText="1"/>
    </xf>
    <xf numFmtId="165" fontId="0" fillId="0" borderId="0" xfId="0" applyNumberFormat="1"/>
    <xf numFmtId="0" fontId="14" fillId="0" borderId="0" xfId="0" applyFont="1" applyAlignment="1">
      <alignment horizontal="left" vertical="center"/>
    </xf>
    <xf numFmtId="2" fontId="0" fillId="5" borderId="11" xfId="0" applyNumberFormat="1" applyFill="1" applyBorder="1" applyAlignment="1">
      <alignment horizontal="center"/>
    </xf>
    <xf numFmtId="165" fontId="0" fillId="5" borderId="11" xfId="0" applyNumberFormat="1" applyFill="1" applyBorder="1" applyAlignment="1">
      <alignment horizontal="center"/>
    </xf>
    <xf numFmtId="0" fontId="1" fillId="6" borderId="3" xfId="0" applyFont="1" applyFill="1" applyBorder="1"/>
    <xf numFmtId="0" fontId="23" fillId="7" borderId="11" xfId="0" applyFont="1" applyFill="1" applyBorder="1"/>
    <xf numFmtId="0" fontId="23" fillId="0" borderId="11" xfId="0" applyFont="1" applyBorder="1" applyAlignment="1">
      <alignment horizontal="center" vertical="center" wrapText="1"/>
    </xf>
    <xf numFmtId="0" fontId="14" fillId="6" borderId="0" xfId="0" applyFont="1" applyFill="1" applyAlignment="1">
      <alignment horizontal="left" vertical="center"/>
    </xf>
    <xf numFmtId="0" fontId="24" fillId="6" borderId="2" xfId="0" applyFont="1" applyFill="1" applyBorder="1" applyAlignment="1">
      <alignment horizontal="left" vertical="center"/>
    </xf>
    <xf numFmtId="0" fontId="23" fillId="0" borderId="11" xfId="0" applyFont="1" applyBorder="1"/>
    <xf numFmtId="0" fontId="14" fillId="2" borderId="9" xfId="0" applyFont="1" applyFill="1" applyBorder="1" applyAlignment="1">
      <alignment horizontal="left" vertical="center"/>
    </xf>
    <xf numFmtId="0" fontId="14" fillId="2" borderId="10" xfId="0" applyFont="1" applyFill="1" applyBorder="1" applyAlignment="1">
      <alignment horizontal="left" vertical="center"/>
    </xf>
    <xf numFmtId="0" fontId="23" fillId="7" borderId="13" xfId="0" applyFont="1" applyFill="1" applyBorder="1"/>
    <xf numFmtId="0" fontId="14" fillId="2" borderId="14" xfId="0" applyFont="1" applyFill="1" applyBorder="1" applyAlignment="1">
      <alignment horizontal="left" vertical="center"/>
    </xf>
    <xf numFmtId="0" fontId="16" fillId="5" borderId="11" xfId="0" applyFont="1" applyFill="1" applyBorder="1"/>
    <xf numFmtId="0" fontId="23" fillId="5" borderId="11" xfId="0" applyFont="1" applyFill="1" applyBorder="1" applyAlignment="1">
      <alignment horizontal="center" vertical="center" wrapText="1"/>
    </xf>
    <xf numFmtId="0" fontId="1" fillId="8" borderId="14" xfId="0" applyFont="1" applyFill="1" applyBorder="1"/>
    <xf numFmtId="0" fontId="0" fillId="9" borderId="0" xfId="0" applyFill="1"/>
    <xf numFmtId="0" fontId="25" fillId="0" borderId="1" xfId="0" applyFont="1" applyBorder="1"/>
    <xf numFmtId="0" fontId="26" fillId="0" borderId="2" xfId="0" applyFont="1" applyBorder="1" applyAlignment="1">
      <alignment horizontal="left" vertical="center"/>
    </xf>
    <xf numFmtId="0" fontId="6" fillId="0" borderId="3" xfId="0" applyFont="1" applyBorder="1"/>
    <xf numFmtId="0" fontId="25" fillId="0" borderId="3" xfId="0" applyFont="1" applyBorder="1"/>
    <xf numFmtId="0" fontId="1" fillId="6" borderId="0" xfId="0" applyFont="1" applyFill="1"/>
    <xf numFmtId="0" fontId="23" fillId="0" borderId="0" xfId="0" applyFont="1"/>
    <xf numFmtId="0" fontId="23" fillId="0" borderId="0" xfId="0" applyFont="1" applyAlignment="1">
      <alignment horizontal="center"/>
    </xf>
    <xf numFmtId="0" fontId="24" fillId="0" borderId="0" xfId="0" applyFont="1" applyAlignment="1">
      <alignment horizontal="left" vertical="center"/>
    </xf>
    <xf numFmtId="0" fontId="27" fillId="0" borderId="0" xfId="0" applyFont="1"/>
    <xf numFmtId="0" fontId="16" fillId="5" borderId="11" xfId="0" applyFont="1" applyFill="1" applyBorder="1" applyAlignment="1">
      <alignment horizontal="center"/>
    </xf>
    <xf numFmtId="11" fontId="0" fillId="0" borderId="0" xfId="0" applyNumberFormat="1"/>
    <xf numFmtId="0" fontId="16" fillId="10" borderId="11" xfId="0" applyFont="1" applyFill="1" applyBorder="1"/>
    <xf numFmtId="11" fontId="16" fillId="10" borderId="11" xfId="0" applyNumberFormat="1" applyFont="1" applyFill="1" applyBorder="1" applyAlignment="1">
      <alignment horizontal="center"/>
    </xf>
    <xf numFmtId="0" fontId="16" fillId="11" borderId="11" xfId="0" applyFont="1" applyFill="1" applyBorder="1"/>
    <xf numFmtId="0" fontId="16" fillId="11" borderId="11" xfId="0" applyFont="1" applyFill="1" applyBorder="1" applyAlignment="1">
      <alignment horizontal="center"/>
    </xf>
    <xf numFmtId="0" fontId="16" fillId="0" borderId="0" xfId="0" applyFont="1" applyAlignment="1">
      <alignment horizontal="center"/>
    </xf>
    <xf numFmtId="0" fontId="7" fillId="0" borderId="3" xfId="0" applyFont="1" applyBorder="1"/>
    <xf numFmtId="166" fontId="0" fillId="0" borderId="0" xfId="0" applyNumberFormat="1"/>
    <xf numFmtId="0" fontId="9" fillId="0" borderId="2" xfId="0" applyFont="1" applyBorder="1"/>
    <xf numFmtId="167" fontId="0" fillId="0" borderId="0" xfId="0" applyNumberFormat="1"/>
    <xf numFmtId="0" fontId="7" fillId="0" borderId="0" xfId="0" applyFont="1"/>
    <xf numFmtId="0" fontId="11" fillId="0" borderId="3" xfId="0" applyFont="1" applyBorder="1"/>
    <xf numFmtId="168" fontId="16" fillId="0" borderId="0" xfId="0" applyNumberFormat="1" applyFont="1" applyAlignment="1">
      <alignment horizontal="center" vertical="center" wrapText="1"/>
    </xf>
    <xf numFmtId="0" fontId="16" fillId="5" borderId="0" xfId="0" applyFont="1" applyFill="1"/>
    <xf numFmtId="0" fontId="16" fillId="5" borderId="0" xfId="0" applyFont="1" applyFill="1" applyAlignment="1">
      <alignment horizontal="center"/>
    </xf>
    <xf numFmtId="0" fontId="14" fillId="2" borderId="0" xfId="0" applyFont="1" applyFill="1" applyAlignment="1">
      <alignment horizontal="left" vertical="center"/>
    </xf>
    <xf numFmtId="0" fontId="9" fillId="0" borderId="0" xfId="0" applyFont="1"/>
    <xf numFmtId="11" fontId="0" fillId="12" borderId="14" xfId="0" applyNumberFormat="1" applyFill="1" applyBorder="1"/>
    <xf numFmtId="11" fontId="16" fillId="0" borderId="11" xfId="0" applyNumberFormat="1" applyFont="1" applyBorder="1" applyAlignment="1">
      <alignment horizontal="center"/>
    </xf>
    <xf numFmtId="0" fontId="9" fillId="0" borderId="15" xfId="0" applyFont="1" applyBorder="1"/>
    <xf numFmtId="0" fontId="0" fillId="0" borderId="16" xfId="0" applyBorder="1"/>
    <xf numFmtId="0" fontId="0" fillId="0" borderId="17" xfId="0" applyBorder="1"/>
    <xf numFmtId="0" fontId="16" fillId="0" borderId="11" xfId="0" applyFont="1" applyBorder="1" applyAlignment="1">
      <alignment horizontal="center"/>
    </xf>
    <xf numFmtId="0" fontId="28" fillId="5" borderId="11" xfId="0" applyFont="1" applyFill="1" applyBorder="1" applyAlignment="1">
      <alignment horizontal="center"/>
    </xf>
    <xf numFmtId="11" fontId="0" fillId="0" borderId="14" xfId="0" applyNumberFormat="1" applyBorder="1"/>
    <xf numFmtId="0" fontId="0" fillId="0" borderId="14" xfId="0" applyBorder="1"/>
    <xf numFmtId="0" fontId="28" fillId="10" borderId="11" xfId="0" applyFont="1" applyFill="1" applyBorder="1" applyAlignment="1">
      <alignment horizontal="center"/>
    </xf>
    <xf numFmtId="0" fontId="28" fillId="11" borderId="11" xfId="0" applyFont="1" applyFill="1" applyBorder="1" applyAlignment="1">
      <alignment horizontal="center"/>
    </xf>
    <xf numFmtId="0" fontId="0" fillId="6" borderId="0" xfId="0" applyFill="1"/>
    <xf numFmtId="0" fontId="16" fillId="0" borderId="2" xfId="0" applyFont="1" applyBorder="1"/>
    <xf numFmtId="0" fontId="16" fillId="0" borderId="2" xfId="0" applyFont="1" applyBorder="1" applyAlignment="1">
      <alignment horizontal="center"/>
    </xf>
    <xf numFmtId="0" fontId="16" fillId="0" borderId="3" xfId="0" applyFont="1" applyBorder="1" applyAlignment="1">
      <alignment horizontal="left" vertical="center"/>
    </xf>
    <xf numFmtId="0" fontId="23" fillId="0" borderId="13" xfId="0" applyFont="1" applyBorder="1" applyAlignment="1">
      <alignment horizontal="center"/>
    </xf>
    <xf numFmtId="49" fontId="6" fillId="0" borderId="0" xfId="0" applyNumberFormat="1" applyFont="1" applyAlignment="1">
      <alignment horizontal="right" vertical="center"/>
    </xf>
    <xf numFmtId="49" fontId="6" fillId="0" borderId="0" xfId="0" applyNumberFormat="1" applyFont="1"/>
    <xf numFmtId="0" fontId="16" fillId="10" borderId="11" xfId="0" applyFont="1" applyFill="1" applyBorder="1" applyAlignment="1">
      <alignment horizontal="center"/>
    </xf>
    <xf numFmtId="11" fontId="28" fillId="5" borderId="11" xfId="0" applyNumberFormat="1" applyFont="1" applyFill="1" applyBorder="1" applyAlignment="1">
      <alignment horizontal="center"/>
    </xf>
    <xf numFmtId="0" fontId="16" fillId="0" borderId="18" xfId="0" applyFont="1" applyBorder="1"/>
    <xf numFmtId="0" fontId="0" fillId="5" borderId="19" xfId="0" applyFill="1" applyBorder="1"/>
    <xf numFmtId="166" fontId="0" fillId="5" borderId="11" xfId="0" applyNumberFormat="1" applyFill="1" applyBorder="1" applyAlignment="1">
      <alignment horizontal="center"/>
    </xf>
    <xf numFmtId="166" fontId="0" fillId="0" borderId="0" xfId="0" applyNumberFormat="1" applyAlignment="1">
      <alignment horizontal="center"/>
    </xf>
    <xf numFmtId="168" fontId="0" fillId="0" borderId="0" xfId="0" applyNumberFormat="1"/>
    <xf numFmtId="0" fontId="0" fillId="5" borderId="20" xfId="0" applyFill="1" applyBorder="1"/>
    <xf numFmtId="0" fontId="23" fillId="7" borderId="11" xfId="0" applyFont="1" applyFill="1" applyBorder="1" applyAlignment="1">
      <alignment horizontal="center"/>
    </xf>
    <xf numFmtId="0" fontId="16" fillId="13" borderId="11" xfId="0" applyFont="1" applyFill="1" applyBorder="1" applyAlignment="1">
      <alignment horizontal="center"/>
    </xf>
    <xf numFmtId="11" fontId="23" fillId="0" borderId="13" xfId="0" applyNumberFormat="1" applyFont="1" applyBorder="1" applyAlignment="1">
      <alignment horizontal="center"/>
    </xf>
    <xf numFmtId="0" fontId="21" fillId="0" borderId="2" xfId="0" applyFont="1" applyBorder="1"/>
    <xf numFmtId="168" fontId="16" fillId="0" borderId="0" xfId="0" applyNumberFormat="1" applyFont="1" applyAlignment="1">
      <alignment horizontal="right" vertical="center" wrapText="1"/>
    </xf>
    <xf numFmtId="0" fontId="23" fillId="0" borderId="11" xfId="0" applyFont="1" applyBorder="1" applyAlignment="1">
      <alignment horizontal="left" vertical="top" wrapText="1"/>
    </xf>
    <xf numFmtId="11" fontId="23" fillId="0" borderId="11" xfId="0" applyNumberFormat="1" applyFont="1" applyBorder="1" applyAlignment="1">
      <alignment horizontal="center" vertical="top" wrapText="1"/>
    </xf>
    <xf numFmtId="11" fontId="23" fillId="7" borderId="11" xfId="0" applyNumberFormat="1" applyFont="1" applyFill="1" applyBorder="1" applyAlignment="1">
      <alignment horizontal="center"/>
    </xf>
    <xf numFmtId="0" fontId="16" fillId="11" borderId="21" xfId="0" applyFont="1" applyFill="1" applyBorder="1"/>
    <xf numFmtId="11" fontId="23" fillId="0" borderId="14" xfId="0" applyNumberFormat="1" applyFont="1" applyBorder="1" applyAlignment="1">
      <alignment horizontal="center"/>
    </xf>
    <xf numFmtId="11" fontId="23" fillId="0" borderId="19" xfId="0" applyNumberFormat="1" applyFont="1" applyBorder="1" applyAlignment="1">
      <alignment horizontal="center" vertical="center" wrapText="1"/>
    </xf>
    <xf numFmtId="0" fontId="16" fillId="0" borderId="11" xfId="0" applyFont="1" applyBorder="1"/>
    <xf numFmtId="169" fontId="0" fillId="0" borderId="0" xfId="29" applyNumberFormat="1" applyFont="1"/>
    <xf numFmtId="11" fontId="23" fillId="0" borderId="11" xfId="0" applyNumberFormat="1" applyFont="1" applyBorder="1" applyAlignment="1">
      <alignment horizontal="center" vertical="center" wrapText="1"/>
    </xf>
    <xf numFmtId="11" fontId="16" fillId="5" borderId="11" xfId="0" applyNumberFormat="1" applyFont="1" applyFill="1" applyBorder="1" applyAlignment="1">
      <alignment horizontal="center"/>
    </xf>
    <xf numFmtId="11" fontId="16" fillId="11" borderId="11" xfId="0" applyNumberFormat="1" applyFont="1" applyFill="1" applyBorder="1" applyAlignment="1">
      <alignment horizontal="center"/>
    </xf>
    <xf numFmtId="11" fontId="28" fillId="11" borderId="11" xfId="0" applyNumberFormat="1" applyFont="1" applyFill="1" applyBorder="1" applyAlignment="1">
      <alignment horizontal="center"/>
    </xf>
    <xf numFmtId="11" fontId="28" fillId="10" borderId="11" xfId="0" applyNumberFormat="1" applyFont="1" applyFill="1" applyBorder="1" applyAlignment="1">
      <alignment horizontal="center"/>
    </xf>
    <xf numFmtId="0" fontId="0" fillId="3" borderId="0" xfId="0" applyFill="1"/>
    <xf numFmtId="0" fontId="29" fillId="0" borderId="0" xfId="0" applyFont="1"/>
    <xf numFmtId="0" fontId="30" fillId="0" borderId="2" xfId="0" applyFont="1" applyBorder="1"/>
    <xf numFmtId="0" fontId="16" fillId="14" borderId="0" xfId="0" applyFont="1" applyFill="1"/>
    <xf numFmtId="0" fontId="31" fillId="0" borderId="0" xfId="0" applyFont="1"/>
    <xf numFmtId="0" fontId="30" fillId="0" borderId="0" xfId="0" applyFont="1"/>
    <xf numFmtId="0" fontId="30" fillId="3" borderId="2" xfId="0" applyFont="1" applyFill="1" applyBorder="1"/>
    <xf numFmtId="0" fontId="5" fillId="3" borderId="2" xfId="0" applyFont="1" applyFill="1" applyBorder="1"/>
    <xf numFmtId="0" fontId="16" fillId="3" borderId="2" xfId="0" applyFont="1" applyFill="1" applyBorder="1"/>
    <xf numFmtId="0" fontId="0" fillId="3" borderId="2" xfId="0" applyFill="1" applyBorder="1"/>
    <xf numFmtId="0" fontId="16" fillId="15" borderId="0" xfId="0" applyFont="1" applyFill="1"/>
    <xf numFmtId="0" fontId="16" fillId="0" borderId="0" xfId="0" applyFont="1" applyAlignment="1">
      <alignment horizontal="right"/>
    </xf>
    <xf numFmtId="0" fontId="8" fillId="0" borderId="0" xfId="0" applyFont="1"/>
    <xf numFmtId="0" fontId="32" fillId="0" borderId="0" xfId="0" applyFont="1" applyAlignment="1">
      <alignment horizontal="left" vertical="center"/>
    </xf>
    <xf numFmtId="0" fontId="33" fillId="16" borderId="3" xfId="0" applyFont="1" applyFill="1" applyBorder="1"/>
    <xf numFmtId="0" fontId="33" fillId="0" borderId="0" xfId="0" applyFont="1"/>
    <xf numFmtId="0" fontId="34" fillId="0" borderId="0" xfId="0" applyFont="1"/>
    <xf numFmtId="0" fontId="9" fillId="17" borderId="22" xfId="0" applyFont="1" applyFill="1" applyBorder="1"/>
    <xf numFmtId="0" fontId="9" fillId="17" borderId="23" xfId="0" applyFont="1" applyFill="1" applyBorder="1"/>
    <xf numFmtId="0" fontId="0" fillId="17" borderId="23" xfId="0" applyFill="1" applyBorder="1"/>
    <xf numFmtId="0" fontId="0" fillId="17" borderId="24" xfId="0" applyFill="1" applyBorder="1"/>
    <xf numFmtId="0" fontId="0" fillId="0" borderId="25" xfId="0" applyBorder="1"/>
    <xf numFmtId="0" fontId="0" fillId="0" borderId="26" xfId="0" applyBorder="1"/>
    <xf numFmtId="0" fontId="9" fillId="0" borderId="25" xfId="0" applyFont="1" applyBorder="1"/>
    <xf numFmtId="0" fontId="9" fillId="0" borderId="26" xfId="0" applyFont="1" applyBorder="1"/>
    <xf numFmtId="0" fontId="16" fillId="9" borderId="0" xfId="0" applyFont="1" applyFill="1"/>
    <xf numFmtId="170" fontId="9" fillId="3" borderId="0" xfId="29" applyNumberFormat="1" applyFont="1" applyFill="1"/>
    <xf numFmtId="2" fontId="0" fillId="3" borderId="0" xfId="0" applyNumberFormat="1" applyFill="1"/>
    <xf numFmtId="0" fontId="6" fillId="0" borderId="0" xfId="0" applyFont="1" applyAlignment="1">
      <alignment horizontal="left" vertical="center"/>
    </xf>
    <xf numFmtId="0" fontId="6" fillId="0" borderId="0" xfId="0" applyFont="1" applyAlignment="1">
      <alignment vertical="center"/>
    </xf>
    <xf numFmtId="0" fontId="35" fillId="0" borderId="26" xfId="0" applyFont="1" applyBorder="1"/>
    <xf numFmtId="0" fontId="35" fillId="0" borderId="27" xfId="0" applyFont="1" applyBorder="1"/>
    <xf numFmtId="0" fontId="0" fillId="0" borderId="24" xfId="0" applyBorder="1"/>
    <xf numFmtId="0" fontId="0" fillId="0" borderId="27" xfId="0" applyBorder="1"/>
    <xf numFmtId="0" fontId="6" fillId="17" borderId="0" xfId="0" applyFont="1" applyFill="1"/>
    <xf numFmtId="0" fontId="16" fillId="17" borderId="0" xfId="0" applyFont="1" applyFill="1"/>
    <xf numFmtId="170" fontId="9" fillId="0" borderId="0" xfId="29" applyNumberFormat="1" applyFont="1" applyFill="1"/>
    <xf numFmtId="171" fontId="0" fillId="0" borderId="0" xfId="0" applyNumberFormat="1"/>
    <xf numFmtId="11" fontId="8" fillId="0" borderId="0" xfId="0" applyNumberFormat="1" applyFont="1" applyAlignment="1">
      <alignment vertical="center"/>
    </xf>
    <xf numFmtId="166" fontId="8" fillId="0" borderId="0" xfId="0" applyNumberFormat="1" applyFont="1" applyAlignment="1">
      <alignment vertical="center"/>
    </xf>
    <xf numFmtId="168" fontId="8" fillId="0" borderId="0" xfId="0" applyNumberFormat="1" applyFont="1" applyAlignment="1">
      <alignment vertical="center"/>
    </xf>
    <xf numFmtId="0" fontId="8" fillId="0" borderId="0" xfId="0" applyFont="1" applyAlignment="1">
      <alignment vertical="center" wrapText="1"/>
    </xf>
    <xf numFmtId="0" fontId="0" fillId="18" borderId="0" xfId="0" applyFill="1"/>
    <xf numFmtId="0" fontId="31" fillId="18" borderId="0" xfId="0" applyFont="1" applyFill="1"/>
    <xf numFmtId="0" fontId="16" fillId="18" borderId="0" xfId="0" applyFont="1" applyFill="1"/>
    <xf numFmtId="0" fontId="6" fillId="19" borderId="0" xfId="0" applyFont="1" applyFill="1"/>
    <xf numFmtId="0" fontId="0" fillId="19" borderId="0" xfId="0" applyFill="1"/>
    <xf numFmtId="0" fontId="0" fillId="20" borderId="0" xfId="0" applyFill="1"/>
    <xf numFmtId="0" fontId="9" fillId="21" borderId="2" xfId="0" applyFont="1" applyFill="1" applyBorder="1"/>
    <xf numFmtId="0" fontId="6" fillId="0" borderId="2" xfId="0" applyFont="1" applyBorder="1"/>
    <xf numFmtId="0" fontId="6" fillId="15" borderId="0" xfId="0" applyFont="1" applyFill="1"/>
    <xf numFmtId="0" fontId="6" fillId="0" borderId="0" xfId="0" applyFont="1" applyAlignment="1">
      <alignment horizontal="right" vertical="center"/>
    </xf>
    <xf numFmtId="0" fontId="36" fillId="0" borderId="0" xfId="0" applyFont="1"/>
    <xf numFmtId="0" fontId="11" fillId="0" borderId="0" xfId="0" applyFont="1" applyAlignment="1">
      <alignment horizontal="right" vertical="center"/>
    </xf>
    <xf numFmtId="0" fontId="37" fillId="0" borderId="0" xfId="0" applyFont="1" applyAlignment="1">
      <alignment horizontal="left" vertical="center"/>
    </xf>
    <xf numFmtId="0" fontId="16" fillId="0" borderId="0" xfId="0" applyFont="1" applyAlignment="1">
      <alignment horizontal="right" vertical="center"/>
    </xf>
    <xf numFmtId="0" fontId="11" fillId="0" borderId="0" xfId="0" applyFont="1" applyAlignment="1">
      <alignment vertical="center"/>
    </xf>
    <xf numFmtId="0" fontId="38" fillId="0" borderId="0" xfId="0" applyFont="1"/>
    <xf numFmtId="164" fontId="0" fillId="0" borderId="0" xfId="0" applyNumberFormat="1" applyAlignment="1">
      <alignment horizontal="right" vertical="center"/>
    </xf>
    <xf numFmtId="0" fontId="0" fillId="0" borderId="0" xfId="0" applyAlignment="1">
      <alignment horizontal="right" vertical="center"/>
    </xf>
    <xf numFmtId="164" fontId="6" fillId="0" borderId="0" xfId="0" applyNumberFormat="1" applyFont="1" applyAlignment="1">
      <alignment horizontal="right" vertical="center"/>
    </xf>
    <xf numFmtId="164" fontId="6" fillId="0" borderId="0" xfId="0" applyNumberFormat="1" applyFont="1"/>
    <xf numFmtId="164" fontId="6" fillId="0" borderId="0" xfId="0" applyNumberFormat="1" applyFont="1" applyAlignment="1">
      <alignment vertical="center"/>
    </xf>
    <xf numFmtId="0" fontId="0" fillId="0" borderId="0" xfId="0" quotePrefix="1"/>
    <xf numFmtId="164" fontId="0" fillId="0" borderId="0" xfId="0" applyNumberFormat="1"/>
    <xf numFmtId="0" fontId="0" fillId="20" borderId="0" xfId="0" applyFill="1" applyAlignment="1">
      <alignment horizontal="left" vertical="center"/>
    </xf>
    <xf numFmtId="0" fontId="0" fillId="19" borderId="1" xfId="0" applyFill="1" applyBorder="1" applyAlignment="1">
      <alignment horizontal="left" vertical="center"/>
    </xf>
    <xf numFmtId="0" fontId="0" fillId="19" borderId="2" xfId="0" applyFill="1" applyBorder="1"/>
    <xf numFmtId="0" fontId="6" fillId="0" borderId="4" xfId="0" applyFont="1" applyBorder="1"/>
    <xf numFmtId="0" fontId="0" fillId="19" borderId="6" xfId="0" applyFill="1" applyBorder="1" applyAlignment="1">
      <alignment horizontal="left" vertical="center"/>
    </xf>
    <xf numFmtId="0" fontId="0" fillId="19" borderId="7" xfId="0" applyFill="1" applyBorder="1"/>
    <xf numFmtId="0" fontId="6" fillId="0" borderId="8" xfId="0" applyFont="1" applyBorder="1"/>
    <xf numFmtId="0" fontId="0" fillId="19" borderId="3" xfId="0" applyFill="1" applyBorder="1" applyAlignment="1">
      <alignment horizontal="left" vertical="center"/>
    </xf>
    <xf numFmtId="0" fontId="6" fillId="0" borderId="5" xfId="0" applyFont="1" applyBorder="1"/>
    <xf numFmtId="0" fontId="0" fillId="0" borderId="0" xfId="0" applyAlignment="1">
      <alignment horizontal="right"/>
    </xf>
    <xf numFmtId="166" fontId="0" fillId="20" borderId="0" xfId="0" applyNumberFormat="1" applyFill="1" applyAlignment="1">
      <alignment horizontal="right"/>
    </xf>
    <xf numFmtId="0" fontId="0" fillId="20" borderId="0" xfId="0" applyFill="1" applyAlignment="1">
      <alignment horizontal="right"/>
    </xf>
    <xf numFmtId="0" fontId="16" fillId="22" borderId="15" xfId="0" applyFont="1" applyFill="1" applyBorder="1"/>
    <xf numFmtId="0" fontId="6" fillId="19" borderId="16" xfId="0" applyFont="1" applyFill="1" applyBorder="1" applyAlignment="1">
      <alignment horizontal="right"/>
    </xf>
    <xf numFmtId="0" fontId="6" fillId="19" borderId="16" xfId="0" applyFont="1" applyFill="1" applyBorder="1"/>
    <xf numFmtId="0" fontId="6" fillId="0" borderId="17" xfId="0" applyFont="1" applyBorder="1"/>
    <xf numFmtId="0" fontId="6" fillId="19" borderId="2" xfId="0" applyFont="1" applyFill="1" applyBorder="1" applyAlignment="1">
      <alignment horizontal="right"/>
    </xf>
    <xf numFmtId="0" fontId="6" fillId="19" borderId="2" xfId="0" applyFont="1" applyFill="1" applyBorder="1"/>
    <xf numFmtId="0" fontId="6" fillId="19" borderId="7" xfId="0" applyFont="1" applyFill="1" applyBorder="1" applyAlignment="1">
      <alignment horizontal="right"/>
    </xf>
    <xf numFmtId="0" fontId="6" fillId="19" borderId="7" xfId="0" applyFont="1" applyFill="1" applyBorder="1"/>
    <xf numFmtId="0" fontId="6" fillId="19" borderId="0" xfId="0" applyFont="1" applyFill="1" applyAlignment="1">
      <alignment horizontal="right"/>
    </xf>
    <xf numFmtId="0" fontId="0" fillId="19" borderId="7" xfId="0" applyFill="1" applyBorder="1" applyAlignment="1">
      <alignment horizontal="right"/>
    </xf>
    <xf numFmtId="0" fontId="6" fillId="0" borderId="0" xfId="0" applyFont="1" applyAlignment="1">
      <alignment horizontal="right"/>
    </xf>
    <xf numFmtId="0" fontId="6" fillId="19" borderId="16" xfId="0" applyFont="1" applyFill="1" applyBorder="1" applyAlignment="1">
      <alignment horizontal="right" vertical="center"/>
    </xf>
    <xf numFmtId="0" fontId="0" fillId="19" borderId="2" xfId="0" applyFill="1" applyBorder="1" applyAlignment="1">
      <alignment horizontal="right" vertical="center"/>
    </xf>
    <xf numFmtId="0" fontId="0" fillId="19" borderId="0" xfId="0" applyFill="1" applyAlignment="1">
      <alignment horizontal="right" vertical="center"/>
    </xf>
    <xf numFmtId="0" fontId="0" fillId="19" borderId="7" xfId="0" applyFill="1" applyBorder="1" applyAlignment="1">
      <alignment horizontal="right" vertical="center"/>
    </xf>
    <xf numFmtId="49" fontId="0" fillId="0" borderId="0" xfId="0" applyNumberFormat="1"/>
    <xf numFmtId="0" fontId="0" fillId="0" borderId="7" xfId="0" applyBorder="1" applyAlignment="1">
      <alignment horizontal="left" vertical="center"/>
    </xf>
    <xf numFmtId="0" fontId="0" fillId="0" borderId="7" xfId="0" applyBorder="1"/>
    <xf numFmtId="0" fontId="14" fillId="0" borderId="7" xfId="0" applyFont="1" applyBorder="1" applyAlignment="1">
      <alignment horizontal="left" vertical="center"/>
    </xf>
    <xf numFmtId="0" fontId="0" fillId="20" borderId="7" xfId="0" applyFill="1" applyBorder="1"/>
    <xf numFmtId="0" fontId="6" fillId="0" borderId="7" xfId="0" applyFont="1" applyBorder="1"/>
    <xf numFmtId="49" fontId="16" fillId="0" borderId="0" xfId="0" applyNumberFormat="1" applyFont="1"/>
    <xf numFmtId="49" fontId="0" fillId="0" borderId="0" xfId="0" applyNumberFormat="1" applyAlignment="1">
      <alignment horizontal="right" vertical="center"/>
    </xf>
    <xf numFmtId="49" fontId="11" fillId="0" borderId="0" xfId="0" applyNumberFormat="1" applyFont="1" applyAlignment="1">
      <alignment vertical="center"/>
    </xf>
    <xf numFmtId="49" fontId="0" fillId="0" borderId="0" xfId="0" applyNumberFormat="1" applyAlignment="1">
      <alignment horizontal="left" vertical="center"/>
    </xf>
    <xf numFmtId="49" fontId="6" fillId="0" borderId="0" xfId="0" applyNumberFormat="1" applyFont="1" applyAlignment="1">
      <alignment horizontal="left" vertical="center"/>
    </xf>
    <xf numFmtId="166" fontId="0" fillId="4" borderId="0" xfId="0" applyNumberFormat="1" applyFill="1"/>
    <xf numFmtId="2" fontId="0" fillId="4" borderId="0" xfId="0" applyNumberFormat="1" applyFill="1"/>
    <xf numFmtId="166" fontId="2" fillId="4" borderId="0" xfId="0" applyNumberFormat="1" applyFont="1" applyFill="1"/>
    <xf numFmtId="2" fontId="2" fillId="4" borderId="0" xfId="0" applyNumberFormat="1" applyFont="1" applyFill="1"/>
    <xf numFmtId="0" fontId="1" fillId="9" borderId="0" xfId="0" applyFont="1" applyFill="1"/>
    <xf numFmtId="166" fontId="1" fillId="4" borderId="0" xfId="0" applyNumberFormat="1" applyFont="1" applyFill="1"/>
    <xf numFmtId="2" fontId="1" fillId="4" borderId="0" xfId="0" applyNumberFormat="1" applyFont="1" applyFill="1"/>
    <xf numFmtId="0" fontId="2" fillId="9" borderId="2" xfId="0" applyFont="1" applyFill="1" applyBorder="1"/>
    <xf numFmtId="166" fontId="2" fillId="4" borderId="2" xfId="0" applyNumberFormat="1" applyFont="1" applyFill="1" applyBorder="1"/>
    <xf numFmtId="2" fontId="0" fillId="4" borderId="2" xfId="0" applyNumberFormat="1" applyFill="1" applyBorder="1"/>
    <xf numFmtId="0" fontId="15" fillId="4" borderId="0" xfId="0" applyFont="1" applyFill="1" applyAlignment="1">
      <alignment vertical="center"/>
    </xf>
    <xf numFmtId="0" fontId="27" fillId="0" borderId="14" xfId="0" applyFont="1" applyBorder="1"/>
    <xf numFmtId="0" fontId="19" fillId="0" borderId="0" xfId="0" quotePrefix="1" applyFont="1"/>
    <xf numFmtId="0" fontId="16" fillId="3" borderId="0" xfId="0" applyFont="1" applyFill="1" applyAlignment="1">
      <alignment vertical="center"/>
    </xf>
    <xf numFmtId="1" fontId="1" fillId="4" borderId="0" xfId="0" applyNumberFormat="1" applyFont="1" applyFill="1"/>
    <xf numFmtId="0" fontId="0" fillId="4" borderId="0" xfId="0" applyFill="1" applyAlignment="1">
      <alignment wrapText="1"/>
    </xf>
    <xf numFmtId="0" fontId="35" fillId="16" borderId="0" xfId="0" applyFont="1" applyFill="1"/>
    <xf numFmtId="0" fontId="39" fillId="16" borderId="0" xfId="0" applyFont="1" applyFill="1"/>
    <xf numFmtId="0" fontId="16" fillId="4" borderId="0" xfId="0" applyFont="1" applyFill="1"/>
    <xf numFmtId="164" fontId="0" fillId="4" borderId="0" xfId="0" applyNumberFormat="1" applyFill="1"/>
    <xf numFmtId="11" fontId="0" fillId="4" borderId="0" xfId="0" applyNumberFormat="1" applyFill="1"/>
    <xf numFmtId="0" fontId="16" fillId="4" borderId="0" xfId="0" applyFont="1" applyFill="1" applyAlignment="1">
      <alignment vertical="center"/>
    </xf>
    <xf numFmtId="0" fontId="0" fillId="4" borderId="0" xfId="0" applyFill="1" applyAlignment="1">
      <alignment vertical="center"/>
    </xf>
    <xf numFmtId="0" fontId="16" fillId="23" borderId="0" xfId="0" applyFont="1" applyFill="1"/>
    <xf numFmtId="0" fontId="2" fillId="24" borderId="2" xfId="0" applyFont="1" applyFill="1" applyBorder="1"/>
    <xf numFmtId="0" fontId="16" fillId="4" borderId="0" xfId="0" applyFont="1" applyFill="1" applyAlignment="1">
      <alignment wrapText="1"/>
    </xf>
    <xf numFmtId="3" fontId="0" fillId="4" borderId="0" xfId="0" applyNumberFormat="1" applyFill="1"/>
    <xf numFmtId="0" fontId="1" fillId="4" borderId="0" xfId="0" applyFont="1" applyFill="1" applyAlignment="1">
      <alignment vertical="center"/>
    </xf>
    <xf numFmtId="0" fontId="0" fillId="25" borderId="0" xfId="0" applyFill="1" applyAlignment="1">
      <alignment horizontal="center" vertical="center"/>
    </xf>
    <xf numFmtId="168" fontId="0" fillId="4" borderId="0" xfId="0" applyNumberFormat="1" applyFill="1"/>
    <xf numFmtId="0" fontId="9" fillId="0" borderId="1" xfId="0" applyFont="1" applyBorder="1"/>
    <xf numFmtId="0" fontId="0" fillId="15" borderId="0" xfId="0" applyFill="1"/>
    <xf numFmtId="0" fontId="9" fillId="0" borderId="3" xfId="0" applyFont="1" applyBorder="1"/>
    <xf numFmtId="0" fontId="0" fillId="26" borderId="3" xfId="0" applyFill="1" applyBorder="1"/>
    <xf numFmtId="0" fontId="0" fillId="26" borderId="0" xfId="0" applyFill="1"/>
    <xf numFmtId="0" fontId="9" fillId="25" borderId="0" xfId="0" applyFont="1" applyFill="1"/>
    <xf numFmtId="0" fontId="9" fillId="26" borderId="0" xfId="0" applyFont="1" applyFill="1"/>
    <xf numFmtId="0" fontId="9" fillId="26" borderId="9" xfId="0" applyFont="1" applyFill="1" applyBorder="1"/>
    <xf numFmtId="0" fontId="0" fillId="25" borderId="0" xfId="0" applyFill="1"/>
    <xf numFmtId="0" fontId="0" fillId="0" borderId="28" xfId="0" applyBorder="1"/>
    <xf numFmtId="0" fontId="0" fillId="25" borderId="0" xfId="0" applyFill="1" applyAlignment="1">
      <alignment vertical="center"/>
    </xf>
    <xf numFmtId="0" fontId="0" fillId="0" borderId="0" xfId="0" applyAlignment="1">
      <alignment vertical="top" wrapText="1"/>
    </xf>
    <xf numFmtId="0" fontId="0" fillId="0" borderId="0" xfId="0" applyAlignment="1">
      <alignment horizontal="center" vertical="center"/>
    </xf>
    <xf numFmtId="0" fontId="0" fillId="0" borderId="0" xfId="0" quotePrefix="1" applyAlignment="1">
      <alignment horizontal="center" vertical="center"/>
    </xf>
    <xf numFmtId="0" fontId="0" fillId="0" borderId="10" xfId="0" applyBorder="1"/>
    <xf numFmtId="0" fontId="0" fillId="17" borderId="0" xfId="0" applyFill="1"/>
    <xf numFmtId="0" fontId="40" fillId="0" borderId="0" xfId="0" applyFont="1"/>
    <xf numFmtId="0" fontId="6" fillId="17" borderId="0" xfId="0" applyFont="1" applyFill="1" applyAlignment="1">
      <alignment vertical="center"/>
    </xf>
    <xf numFmtId="0" fontId="0" fillId="17" borderId="28" xfId="0" applyFill="1" applyBorder="1"/>
    <xf numFmtId="168" fontId="0" fillId="0" borderId="0" xfId="0" applyNumberFormat="1" applyAlignment="1">
      <alignment horizontal="right" vertical="center"/>
    </xf>
    <xf numFmtId="0" fontId="41" fillId="0" borderId="0" xfId="0" applyFont="1"/>
    <xf numFmtId="0" fontId="6" fillId="0" borderId="5" xfId="0" applyFont="1" applyBorder="1" applyAlignment="1">
      <alignment vertical="center"/>
    </xf>
    <xf numFmtId="166" fontId="0" fillId="0" borderId="0" xfId="0" applyNumberFormat="1" applyAlignment="1">
      <alignment horizontal="center" vertical="center"/>
    </xf>
    <xf numFmtId="0" fontId="42" fillId="0" borderId="0" xfId="0" applyFont="1" applyAlignment="1">
      <alignment vertical="top" wrapText="1" indent="1"/>
    </xf>
    <xf numFmtId="0" fontId="16" fillId="27" borderId="0" xfId="0" applyFont="1" applyFill="1" applyAlignment="1">
      <alignment horizontal="center" vertical="center"/>
    </xf>
    <xf numFmtId="0" fontId="16" fillId="0" borderId="0" xfId="0" applyFont="1" applyAlignment="1">
      <alignment horizontal="left" vertical="center"/>
    </xf>
    <xf numFmtId="0" fontId="43" fillId="0" borderId="0" xfId="0" applyFont="1"/>
    <xf numFmtId="0" fontId="9" fillId="0" borderId="0" xfId="0" applyFont="1" applyAlignment="1">
      <alignment horizontal="center"/>
    </xf>
    <xf numFmtId="0" fontId="6" fillId="27" borderId="0" xfId="0" applyFont="1" applyFill="1" applyAlignment="1">
      <alignment horizontal="center" vertical="center"/>
    </xf>
    <xf numFmtId="0" fontId="6" fillId="27" borderId="0" xfId="0" applyFont="1" applyFill="1" applyAlignment="1">
      <alignment vertical="center"/>
    </xf>
    <xf numFmtId="0" fontId="0" fillId="0" borderId="5" xfId="0" applyBorder="1"/>
    <xf numFmtId="0" fontId="16" fillId="27" borderId="0" xfId="0" applyFont="1" applyFill="1" applyAlignment="1">
      <alignment vertical="center"/>
    </xf>
    <xf numFmtId="0" fontId="0" fillId="0" borderId="0" xfId="0" applyAlignment="1">
      <alignment vertical="top"/>
    </xf>
    <xf numFmtId="0" fontId="8" fillId="0" borderId="7" xfId="0" applyFont="1" applyBorder="1"/>
    <xf numFmtId="0" fontId="13" fillId="0" borderId="3" xfId="0" applyFont="1" applyBorder="1"/>
    <xf numFmtId="0" fontId="13" fillId="0" borderId="0" xfId="0" applyFont="1"/>
    <xf numFmtId="0" fontId="12" fillId="0" borderId="0" xfId="0" applyFont="1"/>
    <xf numFmtId="0" fontId="8" fillId="0" borderId="3" xfId="0" applyFont="1" applyBorder="1"/>
    <xf numFmtId="0" fontId="8" fillId="0" borderId="0" xfId="0" applyFont="1" applyAlignment="1">
      <alignment wrapText="1"/>
    </xf>
    <xf numFmtId="0" fontId="8" fillId="26" borderId="0" xfId="0" applyFont="1" applyFill="1"/>
    <xf numFmtId="0" fontId="8" fillId="0" borderId="29" xfId="0" applyFont="1" applyBorder="1"/>
    <xf numFmtId="166" fontId="8" fillId="0" borderId="0" xfId="0" applyNumberFormat="1" applyFont="1"/>
    <xf numFmtId="0" fontId="8" fillId="0" borderId="1" xfId="0" applyFont="1" applyBorder="1"/>
    <xf numFmtId="0" fontId="34" fillId="0" borderId="2" xfId="0" applyFont="1" applyBorder="1" applyAlignment="1">
      <alignment vertical="center"/>
    </xf>
    <xf numFmtId="0" fontId="8" fillId="0" borderId="2" xfId="0" applyFont="1" applyBorder="1"/>
    <xf numFmtId="0" fontId="34" fillId="0" borderId="0" xfId="0" applyFont="1" applyAlignment="1">
      <alignment vertical="center"/>
    </xf>
    <xf numFmtId="0" fontId="8" fillId="17" borderId="1" xfId="0" applyFont="1" applyFill="1" applyBorder="1"/>
    <xf numFmtId="2" fontId="8" fillId="0" borderId="2" xfId="0" applyNumberFormat="1" applyFont="1" applyBorder="1"/>
    <xf numFmtId="0" fontId="24" fillId="17" borderId="3" xfId="0" applyFont="1" applyFill="1" applyBorder="1" applyAlignment="1">
      <alignment horizontal="left" vertical="center"/>
    </xf>
    <xf numFmtId="2" fontId="8" fillId="0" borderId="0" xfId="0" applyNumberFormat="1" applyFont="1"/>
    <xf numFmtId="0" fontId="24" fillId="17" borderId="6" xfId="0" applyFont="1" applyFill="1" applyBorder="1" applyAlignment="1">
      <alignment horizontal="left" vertical="center"/>
    </xf>
    <xf numFmtId="0" fontId="8" fillId="17" borderId="2" xfId="0" applyFont="1" applyFill="1" applyBorder="1"/>
    <xf numFmtId="0" fontId="8" fillId="17" borderId="0" xfId="0" applyFont="1" applyFill="1" applyAlignment="1">
      <alignment horizontal="left" vertical="center"/>
    </xf>
    <xf numFmtId="0" fontId="8" fillId="17" borderId="3" xfId="0" applyFont="1" applyFill="1" applyBorder="1" applyAlignment="1">
      <alignment horizontal="left" vertical="center"/>
    </xf>
    <xf numFmtId="0" fontId="14" fillId="18" borderId="30" xfId="0" applyFont="1" applyFill="1" applyBorder="1" applyAlignment="1">
      <alignment horizontal="left" vertical="center"/>
    </xf>
    <xf numFmtId="0" fontId="8" fillId="0" borderId="30" xfId="0" applyFont="1" applyBorder="1"/>
    <xf numFmtId="0" fontId="8" fillId="0" borderId="29" xfId="0" applyFont="1" applyBorder="1" applyAlignment="1">
      <alignment horizontal="left" vertical="center"/>
    </xf>
    <xf numFmtId="0" fontId="8" fillId="0" borderId="2" xfId="0" applyFont="1" applyBorder="1" applyAlignment="1">
      <alignment horizontal="left" vertical="center"/>
    </xf>
    <xf numFmtId="0" fontId="8" fillId="17" borderId="3" xfId="0" applyFont="1" applyFill="1" applyBorder="1"/>
    <xf numFmtId="0" fontId="8" fillId="17" borderId="6" xfId="0" applyFont="1" applyFill="1" applyBorder="1"/>
    <xf numFmtId="0" fontId="8" fillId="0" borderId="31" xfId="0" applyFont="1" applyBorder="1"/>
    <xf numFmtId="0" fontId="13" fillId="0" borderId="1" xfId="0" applyFont="1" applyBorder="1"/>
    <xf numFmtId="0" fontId="13" fillId="0" borderId="2" xfId="0" applyFont="1" applyBorder="1"/>
    <xf numFmtId="0" fontId="12" fillId="0" borderId="2" xfId="0" applyFont="1" applyBorder="1"/>
    <xf numFmtId="0" fontId="34" fillId="28" borderId="5" xfId="0" applyFont="1" applyFill="1" applyBorder="1" applyAlignment="1">
      <alignment vertical="center"/>
    </xf>
    <xf numFmtId="0" fontId="8" fillId="28" borderId="0" xfId="0" applyFont="1" applyFill="1"/>
    <xf numFmtId="0" fontId="8" fillId="9" borderId="0" xfId="0" applyFont="1" applyFill="1"/>
    <xf numFmtId="0" fontId="8" fillId="29" borderId="0" xfId="0" applyFont="1" applyFill="1"/>
    <xf numFmtId="0" fontId="8" fillId="3" borderId="0" xfId="0" applyFont="1" applyFill="1"/>
    <xf numFmtId="0" fontId="8" fillId="30" borderId="0" xfId="0" applyFont="1" applyFill="1"/>
    <xf numFmtId="0" fontId="44" fillId="0" borderId="0" xfId="0" applyFont="1" applyAlignment="1">
      <alignment vertical="center"/>
    </xf>
    <xf numFmtId="0" fontId="16" fillId="0" borderId="0" xfId="0" applyFont="1" applyAlignment="1">
      <alignment vertical="center"/>
    </xf>
    <xf numFmtId="0" fontId="45" fillId="0" borderId="0" xfId="0" applyFont="1"/>
    <xf numFmtId="0" fontId="46" fillId="0" borderId="0" xfId="0" applyFont="1"/>
    <xf numFmtId="0" fontId="8" fillId="5" borderId="11" xfId="0" applyFont="1" applyFill="1" applyBorder="1"/>
    <xf numFmtId="164" fontId="8" fillId="5" borderId="11" xfId="0" applyNumberFormat="1" applyFont="1" applyFill="1" applyBorder="1" applyAlignment="1">
      <alignment horizontal="center"/>
    </xf>
    <xf numFmtId="0" fontId="8" fillId="5" borderId="12" xfId="0" applyFont="1" applyFill="1" applyBorder="1"/>
    <xf numFmtId="164" fontId="8" fillId="5" borderId="12" xfId="0" applyNumberFormat="1" applyFont="1" applyFill="1" applyBorder="1" applyAlignment="1">
      <alignment horizontal="center"/>
    </xf>
    <xf numFmtId="1" fontId="8" fillId="5" borderId="12" xfId="0" applyNumberFormat="1" applyFont="1" applyFill="1" applyBorder="1" applyAlignment="1">
      <alignment horizontal="center"/>
    </xf>
    <xf numFmtId="1" fontId="8" fillId="5" borderId="11" xfId="0" applyNumberFormat="1" applyFont="1" applyFill="1" applyBorder="1" applyAlignment="1">
      <alignment horizontal="center"/>
    </xf>
    <xf numFmtId="0" fontId="47" fillId="0" borderId="0" xfId="0" applyFont="1"/>
    <xf numFmtId="0" fontId="48" fillId="0" borderId="11" xfId="0" applyFont="1" applyBorder="1" applyAlignment="1">
      <alignment horizontal="left" vertical="top" wrapText="1"/>
    </xf>
    <xf numFmtId="165" fontId="48" fillId="0" borderId="11" xfId="0" applyNumberFormat="1" applyFont="1" applyBorder="1" applyAlignment="1">
      <alignment horizontal="center" vertical="top" wrapText="1"/>
    </xf>
    <xf numFmtId="165" fontId="8" fillId="0" borderId="0" xfId="0" applyNumberFormat="1" applyFont="1"/>
    <xf numFmtId="2" fontId="8" fillId="5" borderId="11" xfId="0" applyNumberFormat="1" applyFont="1" applyFill="1" applyBorder="1" applyAlignment="1">
      <alignment horizontal="center"/>
    </xf>
    <xf numFmtId="165" fontId="8" fillId="5" borderId="11" xfId="0" applyNumberFormat="1" applyFont="1" applyFill="1" applyBorder="1" applyAlignment="1">
      <alignment horizontal="center"/>
    </xf>
    <xf numFmtId="0" fontId="8" fillId="6" borderId="3" xfId="0" applyFont="1" applyFill="1" applyBorder="1"/>
    <xf numFmtId="0" fontId="49" fillId="7" borderId="11" xfId="0" applyFont="1" applyFill="1" applyBorder="1"/>
    <xf numFmtId="0" fontId="49" fillId="0" borderId="11" xfId="0" applyFont="1" applyBorder="1" applyAlignment="1">
      <alignment horizontal="center" vertical="center" wrapText="1"/>
    </xf>
    <xf numFmtId="0" fontId="8" fillId="6" borderId="0" xfId="0" applyFont="1" applyFill="1" applyAlignment="1">
      <alignment horizontal="left" vertical="center"/>
    </xf>
    <xf numFmtId="0" fontId="8" fillId="6" borderId="2" xfId="0" applyFont="1" applyFill="1" applyBorder="1" applyAlignment="1">
      <alignment horizontal="left" vertical="center"/>
    </xf>
    <xf numFmtId="0" fontId="49" fillId="7" borderId="13" xfId="0" applyFont="1" applyFill="1" applyBorder="1"/>
    <xf numFmtId="0" fontId="34" fillId="5" borderId="11" xfId="0" applyFont="1" applyFill="1" applyBorder="1"/>
    <xf numFmtId="0" fontId="49" fillId="5" borderId="11" xfId="0" applyFont="1" applyFill="1" applyBorder="1" applyAlignment="1">
      <alignment horizontal="center" vertical="center" wrapText="1"/>
    </xf>
    <xf numFmtId="0" fontId="8" fillId="2" borderId="3" xfId="0" applyFont="1" applyFill="1" applyBorder="1"/>
    <xf numFmtId="0" fontId="50" fillId="0" borderId="1" xfId="0" applyFont="1" applyBorder="1"/>
    <xf numFmtId="0" fontId="13" fillId="0" borderId="2" xfId="0" applyFont="1" applyBorder="1" applyAlignment="1">
      <alignment horizontal="left" vertical="center"/>
    </xf>
    <xf numFmtId="0" fontId="45" fillId="0" borderId="3" xfId="0" applyFont="1" applyBorder="1"/>
    <xf numFmtId="0" fontId="50" fillId="0" borderId="3" xfId="0" applyFont="1" applyBorder="1"/>
    <xf numFmtId="0" fontId="8" fillId="6" borderId="0" xfId="0" applyFont="1" applyFill="1"/>
    <xf numFmtId="0" fontId="49" fillId="0" borderId="0" xfId="0" applyFont="1"/>
    <xf numFmtId="0" fontId="49" fillId="0" borderId="0" xfId="0" applyFont="1" applyAlignment="1">
      <alignment horizontal="center"/>
    </xf>
    <xf numFmtId="0" fontId="47" fillId="3" borderId="0" xfId="0" applyFont="1" applyFill="1"/>
    <xf numFmtId="0" fontId="45" fillId="0" borderId="0" xfId="0" applyFont="1" applyAlignment="1">
      <alignment horizontal="left" vertical="center"/>
    </xf>
    <xf numFmtId="0" fontId="51" fillId="0" borderId="0" xfId="0" applyFont="1"/>
    <xf numFmtId="0" fontId="34" fillId="5" borderId="11" xfId="0" applyFont="1" applyFill="1" applyBorder="1" applyAlignment="1">
      <alignment horizontal="center"/>
    </xf>
    <xf numFmtId="11" fontId="8" fillId="0" borderId="0" xfId="0" applyNumberFormat="1" applyFont="1"/>
    <xf numFmtId="0" fontId="34" fillId="10" borderId="11" xfId="0" applyFont="1" applyFill="1" applyBorder="1"/>
    <xf numFmtId="11" fontId="34" fillId="10" borderId="11" xfId="0" applyNumberFormat="1" applyFont="1" applyFill="1" applyBorder="1" applyAlignment="1">
      <alignment horizontal="center"/>
    </xf>
    <xf numFmtId="0" fontId="34" fillId="11" borderId="11" xfId="0" applyFont="1" applyFill="1" applyBorder="1"/>
    <xf numFmtId="0" fontId="34" fillId="11" borderId="11" xfId="0" applyFont="1" applyFill="1" applyBorder="1" applyAlignment="1">
      <alignment horizontal="center"/>
    </xf>
    <xf numFmtId="167" fontId="8" fillId="0" borderId="0" xfId="0" applyNumberFormat="1" applyFont="1"/>
    <xf numFmtId="0" fontId="34" fillId="0" borderId="0" xfId="0" applyFont="1" applyAlignment="1">
      <alignment horizontal="center"/>
    </xf>
    <xf numFmtId="0" fontId="1" fillId="0" borderId="2" xfId="0" applyFont="1" applyBorder="1"/>
    <xf numFmtId="0" fontId="31" fillId="0" borderId="0" xfId="0" applyFont="1" applyAlignment="1">
      <alignment horizontal="center"/>
    </xf>
    <xf numFmtId="0" fontId="47" fillId="0" borderId="3" xfId="0" applyFont="1" applyBorder="1"/>
    <xf numFmtId="168" fontId="34" fillId="0" borderId="0" xfId="0" applyNumberFormat="1" applyFont="1" applyAlignment="1">
      <alignment horizontal="center" vertical="center" wrapText="1"/>
    </xf>
    <xf numFmtId="11" fontId="1" fillId="0" borderId="0" xfId="0" applyNumberFormat="1" applyFont="1"/>
    <xf numFmtId="0" fontId="13" fillId="0" borderId="15" xfId="0" applyFont="1" applyBorder="1"/>
    <xf numFmtId="0" fontId="8" fillId="0" borderId="16" xfId="0" applyFont="1" applyBorder="1"/>
    <xf numFmtId="0" fontId="8" fillId="0" borderId="17" xfId="0" applyFont="1" applyBorder="1"/>
    <xf numFmtId="11" fontId="8" fillId="0" borderId="14" xfId="0" applyNumberFormat="1" applyFont="1" applyBorder="1"/>
    <xf numFmtId="0" fontId="8" fillId="0" borderId="14" xfId="0" applyFont="1" applyBorder="1"/>
    <xf numFmtId="0" fontId="34" fillId="5" borderId="0" xfId="0" applyFont="1" applyFill="1"/>
    <xf numFmtId="0" fontId="34" fillId="5" borderId="0" xfId="0" applyFont="1" applyFill="1" applyAlignment="1">
      <alignment horizontal="center"/>
    </xf>
    <xf numFmtId="172" fontId="8" fillId="0" borderId="0" xfId="29" applyNumberFormat="1" applyFont="1"/>
    <xf numFmtId="0" fontId="8" fillId="0" borderId="0" xfId="0" applyFont="1" applyAlignment="1">
      <alignment textRotation="90" wrapText="1"/>
    </xf>
    <xf numFmtId="0" fontId="34" fillId="0" borderId="2" xfId="0" applyFont="1" applyBorder="1"/>
    <xf numFmtId="0" fontId="34" fillId="0" borderId="2" xfId="0" applyFont="1" applyBorder="1" applyAlignment="1">
      <alignment horizontal="center"/>
    </xf>
    <xf numFmtId="0" fontId="34" fillId="0" borderId="3" xfId="0" applyFont="1" applyBorder="1" applyAlignment="1">
      <alignment horizontal="left" vertical="center"/>
    </xf>
    <xf numFmtId="0" fontId="34" fillId="10" borderId="11" xfId="0" applyFont="1" applyFill="1" applyBorder="1" applyAlignment="1">
      <alignment horizontal="center"/>
    </xf>
    <xf numFmtId="166" fontId="8" fillId="5" borderId="11" xfId="0" applyNumberFormat="1" applyFont="1" applyFill="1" applyBorder="1" applyAlignment="1">
      <alignment horizontal="center"/>
    </xf>
    <xf numFmtId="168" fontId="8" fillId="0" borderId="0" xfId="0" applyNumberFormat="1" applyFont="1"/>
    <xf numFmtId="0" fontId="8" fillId="5" borderId="20" xfId="0" applyFont="1" applyFill="1" applyBorder="1"/>
    <xf numFmtId="165" fontId="8" fillId="5" borderId="20" xfId="0" applyNumberFormat="1" applyFont="1" applyFill="1" applyBorder="1" applyAlignment="1">
      <alignment horizontal="center"/>
    </xf>
    <xf numFmtId="0" fontId="8" fillId="31" borderId="0" xfId="0" applyFont="1" applyFill="1"/>
    <xf numFmtId="168" fontId="34" fillId="0" borderId="0" xfId="0" applyNumberFormat="1" applyFont="1" applyAlignment="1">
      <alignment horizontal="right" vertical="center" wrapText="1"/>
    </xf>
    <xf numFmtId="0" fontId="46" fillId="0" borderId="2" xfId="0" applyFont="1" applyBorder="1"/>
    <xf numFmtId="0" fontId="34" fillId="11" borderId="21" xfId="0" applyFont="1" applyFill="1" applyBorder="1"/>
    <xf numFmtId="0" fontId="34" fillId="11" borderId="21" xfId="0" applyFont="1" applyFill="1" applyBorder="1" applyAlignment="1">
      <alignment horizontal="center"/>
    </xf>
    <xf numFmtId="0" fontId="34" fillId="0" borderId="11" xfId="0" applyFont="1" applyBorder="1"/>
    <xf numFmtId="11" fontId="34" fillId="0" borderId="11" xfId="0" applyNumberFormat="1" applyFont="1" applyBorder="1" applyAlignment="1">
      <alignment horizontal="center"/>
    </xf>
    <xf numFmtId="169" fontId="8" fillId="0" borderId="0" xfId="29" applyNumberFormat="1" applyFont="1"/>
    <xf numFmtId="11" fontId="34" fillId="5" borderId="11" xfId="0" applyNumberFormat="1" applyFont="1" applyFill="1" applyBorder="1" applyAlignment="1">
      <alignment horizontal="center"/>
    </xf>
    <xf numFmtId="11" fontId="34" fillId="11" borderId="11" xfId="0" applyNumberFormat="1" applyFont="1" applyFill="1" applyBorder="1" applyAlignment="1">
      <alignment horizontal="center"/>
    </xf>
    <xf numFmtId="11" fontId="49" fillId="7" borderId="11" xfId="0" applyNumberFormat="1" applyFont="1" applyFill="1" applyBorder="1" applyAlignment="1">
      <alignment horizontal="center"/>
    </xf>
    <xf numFmtId="0" fontId="49" fillId="7" borderId="11" xfId="0" applyFont="1" applyFill="1" applyBorder="1" applyAlignment="1">
      <alignment horizontal="center"/>
    </xf>
    <xf numFmtId="0" fontId="8" fillId="3" borderId="2" xfId="0" applyFont="1" applyFill="1" applyBorder="1" applyAlignment="1">
      <alignment horizontal="left" vertical="center"/>
    </xf>
    <xf numFmtId="0" fontId="49" fillId="3" borderId="11" xfId="0" applyFont="1" applyFill="1" applyBorder="1"/>
    <xf numFmtId="0" fontId="49" fillId="32" borderId="11" xfId="0" applyFont="1" applyFill="1" applyBorder="1"/>
    <xf numFmtId="0" fontId="49" fillId="0" borderId="11" xfId="0" applyFont="1" applyBorder="1"/>
    <xf numFmtId="0" fontId="8" fillId="8" borderId="3" xfId="0" applyFont="1" applyFill="1" applyBorder="1"/>
    <xf numFmtId="11" fontId="8" fillId="12" borderId="14" xfId="0" applyNumberFormat="1" applyFont="1" applyFill="1" applyBorder="1"/>
    <xf numFmtId="0" fontId="34" fillId="0" borderId="11" xfId="0" applyFont="1" applyBorder="1" applyAlignment="1">
      <alignment horizontal="center"/>
    </xf>
    <xf numFmtId="164" fontId="8" fillId="0" borderId="0" xfId="0" applyNumberFormat="1" applyFont="1"/>
    <xf numFmtId="0" fontId="52" fillId="0" borderId="0" xfId="0" applyFont="1"/>
    <xf numFmtId="0" fontId="49" fillId="0" borderId="13" xfId="0" applyFont="1" applyBorder="1" applyAlignment="1">
      <alignment horizontal="center"/>
    </xf>
    <xf numFmtId="49" fontId="45" fillId="0" borderId="0" xfId="0" applyNumberFormat="1" applyFont="1" applyAlignment="1">
      <alignment horizontal="right" vertical="center"/>
    </xf>
    <xf numFmtId="49" fontId="45" fillId="0" borderId="0" xfId="0" applyNumberFormat="1" applyFont="1"/>
    <xf numFmtId="166" fontId="8" fillId="0" borderId="0" xfId="0" applyNumberFormat="1" applyFont="1" applyAlignment="1">
      <alignment horizontal="center"/>
    </xf>
    <xf numFmtId="11" fontId="49" fillId="0" borderId="13" xfId="0" applyNumberFormat="1" applyFont="1" applyBorder="1" applyAlignment="1">
      <alignment horizontal="center"/>
    </xf>
    <xf numFmtId="11" fontId="49" fillId="0" borderId="11" xfId="0" applyNumberFormat="1" applyFont="1" applyBorder="1" applyAlignment="1">
      <alignment horizontal="center" vertical="center" wrapText="1"/>
    </xf>
    <xf numFmtId="0" fontId="49" fillId="0" borderId="11" xfId="0" applyFont="1" applyBorder="1" applyAlignment="1">
      <alignment horizontal="left" vertical="top" wrapText="1"/>
    </xf>
    <xf numFmtId="11" fontId="49" fillId="0" borderId="11" xfId="0" applyNumberFormat="1" applyFont="1" applyBorder="1" applyAlignment="1">
      <alignment horizontal="center" vertical="top" wrapText="1"/>
    </xf>
    <xf numFmtId="0" fontId="49" fillId="7" borderId="11" xfId="0" applyFont="1" applyFill="1" applyBorder="1" applyAlignment="1">
      <alignment horizontal="right"/>
    </xf>
    <xf numFmtId="0" fontId="49" fillId="0" borderId="0" xfId="0" applyFont="1" applyAlignment="1">
      <alignment horizontal="left" vertical="top" wrapText="1"/>
    </xf>
    <xf numFmtId="11" fontId="49" fillId="0" borderId="0" xfId="0" applyNumberFormat="1" applyFont="1" applyAlignment="1">
      <alignment horizontal="center" vertical="top" wrapText="1"/>
    </xf>
    <xf numFmtId="11" fontId="49" fillId="0" borderId="0" xfId="0" applyNumberFormat="1" applyFont="1" applyAlignment="1">
      <alignment horizontal="center"/>
    </xf>
    <xf numFmtId="0" fontId="34" fillId="5" borderId="19" xfId="0" applyFont="1" applyFill="1" applyBorder="1"/>
    <xf numFmtId="0" fontId="34" fillId="5" borderId="19" xfId="0" applyFont="1" applyFill="1" applyBorder="1" applyAlignment="1">
      <alignment horizontal="center"/>
    </xf>
    <xf numFmtId="0" fontId="14" fillId="6" borderId="2" xfId="0" applyFont="1" applyFill="1" applyBorder="1" applyAlignment="1">
      <alignment horizontal="left" vertical="center"/>
    </xf>
    <xf numFmtId="168" fontId="34" fillId="0" borderId="0" xfId="0" applyNumberFormat="1" applyFont="1"/>
    <xf numFmtId="0" fontId="28" fillId="0" borderId="11" xfId="0" applyFont="1" applyBorder="1" applyAlignment="1">
      <alignment horizontal="center"/>
    </xf>
    <xf numFmtId="0" fontId="34" fillId="0" borderId="18" xfId="0" applyFont="1" applyBorder="1"/>
    <xf numFmtId="0" fontId="49" fillId="0" borderId="17" xfId="0" applyFont="1" applyBorder="1" applyAlignment="1">
      <alignment horizontal="center"/>
    </xf>
    <xf numFmtId="0" fontId="8" fillId="5" borderId="19" xfId="0" applyFont="1" applyFill="1" applyBorder="1"/>
    <xf numFmtId="0" fontId="53" fillId="7" borderId="11" xfId="0" applyFont="1" applyFill="1" applyBorder="1" applyAlignment="1">
      <alignment horizontal="center"/>
    </xf>
    <xf numFmtId="11" fontId="53" fillId="0" borderId="13" xfId="0" applyNumberFormat="1" applyFont="1" applyBorder="1" applyAlignment="1">
      <alignment horizontal="center"/>
    </xf>
    <xf numFmtId="0" fontId="14" fillId="2" borderId="2" xfId="0" applyFont="1" applyFill="1" applyBorder="1" applyAlignment="1">
      <alignment horizontal="left" vertical="center"/>
    </xf>
    <xf numFmtId="0" fontId="8" fillId="2" borderId="0" xfId="0" applyFont="1" applyFill="1"/>
    <xf numFmtId="0" fontId="49" fillId="2" borderId="11" xfId="0" applyFont="1" applyFill="1" applyBorder="1"/>
    <xf numFmtId="0" fontId="49" fillId="33" borderId="11" xfId="0" applyFont="1" applyFill="1" applyBorder="1"/>
    <xf numFmtId="0" fontId="49" fillId="2" borderId="11" xfId="0" applyFont="1" applyFill="1" applyBorder="1" applyAlignment="1">
      <alignment horizontal="center" vertical="center" wrapText="1"/>
    </xf>
    <xf numFmtId="0" fontId="49" fillId="0" borderId="32" xfId="0" applyFont="1" applyBorder="1" applyAlignment="1">
      <alignment horizontal="center" vertical="center" wrapText="1"/>
    </xf>
    <xf numFmtId="2" fontId="34" fillId="0" borderId="0" xfId="0" applyNumberFormat="1" applyFont="1"/>
    <xf numFmtId="0" fontId="26" fillId="34" borderId="2" xfId="0" applyFont="1" applyFill="1" applyBorder="1" applyAlignment="1">
      <alignment horizontal="left" vertical="center"/>
    </xf>
    <xf numFmtId="11" fontId="34" fillId="0" borderId="33" xfId="0" applyNumberFormat="1" applyFont="1" applyBorder="1" applyAlignment="1">
      <alignment horizontal="right"/>
    </xf>
    <xf numFmtId="11" fontId="34" fillId="0" borderId="34" xfId="0" applyNumberFormat="1" applyFont="1" applyBorder="1" applyAlignment="1">
      <alignment horizontal="right" vertical="top" wrapText="1"/>
    </xf>
    <xf numFmtId="11" fontId="34" fillId="0" borderId="10" xfId="0" applyNumberFormat="1" applyFont="1" applyBorder="1" applyAlignment="1">
      <alignment horizontal="right"/>
    </xf>
    <xf numFmtId="0" fontId="34" fillId="7" borderId="11" xfId="0" applyFont="1" applyFill="1" applyBorder="1" applyAlignment="1">
      <alignment horizontal="right"/>
    </xf>
    <xf numFmtId="11" fontId="34" fillId="0" borderId="13" xfId="0" applyNumberFormat="1" applyFont="1" applyBorder="1" applyAlignment="1">
      <alignment horizontal="right"/>
    </xf>
    <xf numFmtId="0" fontId="8" fillId="8" borderId="14" xfId="0" applyFont="1" applyFill="1" applyBorder="1"/>
    <xf numFmtId="0" fontId="54" fillId="0" borderId="3" xfId="0" applyFont="1" applyBorder="1"/>
    <xf numFmtId="11" fontId="53" fillId="0" borderId="11" xfId="0" applyNumberFormat="1" applyFont="1" applyBorder="1" applyAlignment="1">
      <alignment horizontal="center" vertical="top" wrapText="1"/>
    </xf>
    <xf numFmtId="11" fontId="49" fillId="0" borderId="14" xfId="0" applyNumberFormat="1" applyFont="1" applyBorder="1" applyAlignment="1">
      <alignment horizontal="center"/>
    </xf>
    <xf numFmtId="11" fontId="49" fillId="0" borderId="19" xfId="0" applyNumberFormat="1" applyFont="1" applyBorder="1" applyAlignment="1">
      <alignment horizontal="center"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6" fillId="0" borderId="2" xfId="0" applyFont="1" applyBorder="1" applyAlignment="1"/>
    <xf numFmtId="0" fontId="16" fillId="0" borderId="0" xfId="0" applyFont="1" applyAlignment="1"/>
  </cellXfs>
  <cellStyles count="30">
    <cellStyle name="Comma" xfId="29" builtinId="3"/>
    <cellStyle name="Followed Hyperlink" xfId="6" builtinId="9" hidden="1"/>
    <cellStyle name="Followed Hyperlink" xfId="4" builtinId="9" hidden="1"/>
    <cellStyle name="Followed Hyperlink" xfId="8" builtinId="9" hidden="1"/>
    <cellStyle name="Followed Hyperlink" xfId="2" builtinId="9" hidden="1"/>
    <cellStyle name="Followed Hyperlink" xfId="10" builtinId="9" hidden="1"/>
    <cellStyle name="Followed Hyperlink" xfId="12" builtinId="9" hidden="1"/>
    <cellStyle name="Followed Hyperlink" xfId="18" builtinId="9" hidden="1"/>
    <cellStyle name="Followed Hyperlink" xfId="20" builtinId="9" hidden="1"/>
    <cellStyle name="Followed Hyperlink" xfId="14" builtinId="9" hidden="1"/>
    <cellStyle name="Followed Hyperlink" xfId="16" builtinId="9" hidden="1"/>
    <cellStyle name="Followed Hyperlink" xfId="24" builtinId="9" hidden="1"/>
    <cellStyle name="Followed Hyperlink" xfId="28" builtinId="9" hidden="1"/>
    <cellStyle name="Followed Hyperlink" xfId="26" builtinId="9" hidden="1"/>
    <cellStyle name="Followed Hyperlink" xfId="22" builtinId="9" hidden="1"/>
    <cellStyle name="Hyperlink" xfId="11" builtinId="8" hidden="1"/>
    <cellStyle name="Hyperlink" xfId="7" builtinId="8" hidden="1"/>
    <cellStyle name="Hyperlink" xfId="9" builtinId="8" hidden="1"/>
    <cellStyle name="Hyperlink" xfId="1" builtinId="8" hidden="1"/>
    <cellStyle name="Hyperlink" xfId="3" builtinId="8" hidden="1"/>
    <cellStyle name="Hyperlink" xfId="5" builtinId="8" hidden="1"/>
    <cellStyle name="Hyperlink" xfId="13" builtinId="8" hidden="1"/>
    <cellStyle name="Hyperlink" xfId="27" builtinId="8" hidden="1"/>
    <cellStyle name="Hyperlink" xfId="23" builtinId="8" hidden="1"/>
    <cellStyle name="Hyperlink" xfId="25" builtinId="8" hidden="1"/>
    <cellStyle name="Hyperlink" xfId="21" builtinId="8" hidden="1"/>
    <cellStyle name="Hyperlink" xfId="15" builtinId="8" hidden="1"/>
    <cellStyle name="Hyperlink" xfId="17" builtinId="8" hidden="1"/>
    <cellStyle name="Hyperlink" xfId="19" builtinId="8" hidden="1"/>
    <cellStyle name="Normal" xfId="0" builtinId="0"/>
  </cellStyles>
  <dxfs count="2">
    <dxf>
      <font>
        <b/>
        <i val="0"/>
      </font>
    </dxf>
    <dxf>
      <fill>
        <patternFill>
          <bgColor theme="9"/>
        </patternFill>
      </fill>
    </dxf>
  </dxfs>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heetMetadata" Target="metadata.xml"/><Relationship Id="rId89" Type="http://schemas.openxmlformats.org/officeDocument/2006/relationships/customXml" Target="../customXml/item3.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externalLink" Target="externalLinks/externalLink2.xml"/><Relationship Id="rId5" Type="http://schemas.openxmlformats.org/officeDocument/2006/relationships/worksheet" Target="worksheets/sheet5.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externalLink" Target="externalLinks/externalLink3.xml"/><Relationship Id="rId85"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88"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externalLink" Target="externalLinks/externalLink1.xml"/><Relationship Id="rId81" Type="http://schemas.openxmlformats.org/officeDocument/2006/relationships/theme" Target="theme/theme1.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customXml" Target="../customXml/item1.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tudk.sharepoint.com/sites/GENESIS/Delte%20dokumenter/General/3_Collaboration/3_Data%20collection/3_PEMFC_PMFC/1_mid-term/GENESIS_LCI_fuel%20cell_PEM_Long-Term_PEMFC-bat_09.02.2023.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tudk-my.sharepoint.com/personal/kmadu_dtu_dk/Documents/GENESIS/prospective%20LCA/PE&amp;D%202030/fixed/isolating%20DCDC%20converter.xlsx" TargetMode="External"/><Relationship Id="rId1" Type="http://schemas.openxmlformats.org/officeDocument/2006/relationships/externalLinkPath" Target="https://dtudk.sharepoint.com/sites/GENESIS/Delte%20dokumenter/General/3_Collaboration/7_BW2/Modeling/LCI/Long_term/PEMFC-bat/isolating%20DCDC%20converter.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dtudk-my.sharepoint.com/personal/kmadu_dtu_dk/Documents/GENESIS/prospective%20LCA/PE&amp;D%202030/fixed/motor%20traction%20drive%20inverter%20DCAC.xlsx" TargetMode="External"/><Relationship Id="rId1" Type="http://schemas.openxmlformats.org/officeDocument/2006/relationships/externalLinkPath" Target="https://dtudk.sharepoint.com/sites/GENESIS/Delte%20dokumenter/General/3_Collaboration/7_BW2/Modeling/LCI/Long_term/PEMFC-bat/motor%20traction%20drive%20inverter%20DCA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digreeMatrixCalculation"/>
      <sheetName val="code"/>
      <sheetName val="Same processes"/>
      <sheetName val="Reusable"/>
      <sheetName val="Driver Board (SAME!)"/>
      <sheetName val="Logic Board (SAME!)"/>
      <sheetName val="Cable glands"/>
      <sheetName val="Machined casing"/>
      <sheetName val="IGBT power module"/>
      <sheetName val="ISOLATING DCDC CONVERTER"/>
      <sheetName val="Power electronics"/>
    </sheetNames>
    <sheetDataSet>
      <sheetData sheetId="0" refreshError="1"/>
      <sheetData sheetId="1" refreshError="1"/>
      <sheetData sheetId="2">
        <row r="46">
          <cell r="B46">
            <v>0.25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digreeMatrixCalculation"/>
      <sheetName val="code"/>
      <sheetName val="Same processes"/>
      <sheetName val="Reusable"/>
      <sheetName val="Driver Board (SAME!)"/>
      <sheetName val="Logic Board (SAME!)"/>
      <sheetName val="Cable glands"/>
      <sheetName val="Machined casing"/>
      <sheetName val="IGBT power module"/>
      <sheetName val="MOTOR DRIVE INVERTER"/>
      <sheetName val="Power electronics"/>
    </sheetNames>
    <sheetDataSet>
      <sheetData sheetId="0"/>
      <sheetData sheetId="1"/>
      <sheetData sheetId="2">
        <row r="46">
          <cell r="B46">
            <v>0.25</v>
          </cell>
        </row>
      </sheetData>
      <sheetData sheetId="3"/>
      <sheetData sheetId="4"/>
      <sheetData sheetId="5"/>
      <sheetData sheetId="6"/>
      <sheetData sheetId="7"/>
      <sheetData sheetId="8"/>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Karen Saavedra Rubio" id="{86557C29-545B-46CD-B4E8-B67BA67B7B61}" userId="S::kasaru@dtu.dk::de8c7964-5f89-4fbf-b3f1-efea5242b1b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44" dT="2023-01-25T11:01:24.29" personId="{86557C29-545B-46CD-B4E8-B67BA67B7B61}" id="{37159C01-09E2-4EA1-9E3C-B5614C4AF84B}">
    <text>From HFPO synthesis</text>
  </threadedComment>
  <threadedComment ref="O146" dT="2023-01-25T11:04:49.51" personId="{86557C29-545B-46CD-B4E8-B67BA67B7B61}" id="{EBA0940B-BBEA-45E9-830F-1ADC3AC19398}">
    <text>From PSEPVE synthesis</text>
  </threadedComment>
  <threadedComment ref="Q163" dT="2022-11-14T14:32:43.06" personId="{86557C29-545B-46CD-B4E8-B67BA67B7B61}" id="{82907161-F119-4D3B-84B2-1C03870EA8EC}">
    <text>1 ml solvent/ 100 mg solid</text>
  </threadedComment>
</ThreadedComment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1036C-6322-4731-8FFE-D1CFB491AA30}">
  <dimension ref="A1:N35"/>
  <sheetViews>
    <sheetView workbookViewId="0">
      <selection activeCell="E7" sqref="E7"/>
    </sheetView>
  </sheetViews>
  <sheetFormatPr defaultRowHeight="14.45"/>
  <cols>
    <col min="1" max="1" width="38.5703125" bestFit="1" customWidth="1"/>
    <col min="2" max="2" width="43.42578125" bestFit="1" customWidth="1"/>
    <col min="3" max="3" width="12.8554687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9" width="12.7109375" bestFit="1" customWidth="1"/>
    <col min="10" max="10" width="12" bestFit="1" customWidth="1"/>
    <col min="11" max="13" width="10.85546875" bestFit="1" customWidth="1"/>
  </cols>
  <sheetData>
    <row r="1" spans="1:14">
      <c r="A1" t="s">
        <v>0</v>
      </c>
      <c r="B1">
        <v>13</v>
      </c>
      <c r="N1" s="22" t="str">
        <f ca="1">UPPER(CONCATENATE(DEC2HEX(RANDBETWEEN(0,POWER(16,8)),8),DEC2HEX(RANDBETWEEN(0,POWER(16,4)),4),"4",DEC2HEX(RANDBETWEEN(0,POWER(16,3)),3),DEC2HEX(RANDBETWEEN(8,11)),DEC2HEX(RANDBETWEEN(0,POWER(16,3)),3),DEC2HEX(RANDBETWEEN(0,POWER(16,8)),8),DEC2HEX(RANDBETWEEN(0,POWER(16,4)),4)))</f>
        <v>24E1F251A4034BBEB52A2B206B555589</v>
      </c>
    </row>
    <row r="2" spans="1:14" ht="15.6">
      <c r="A2" s="16" t="s">
        <v>1</v>
      </c>
      <c r="B2" s="16" t="s">
        <v>2</v>
      </c>
    </row>
    <row r="3" spans="1:14">
      <c r="A3" t="s">
        <v>3</v>
      </c>
      <c r="B3" t="s">
        <v>4</v>
      </c>
    </row>
    <row r="4" spans="1:14" ht="15.6">
      <c r="A4" s="1" t="s">
        <v>5</v>
      </c>
      <c r="B4" s="2" t="s">
        <v>6</v>
      </c>
      <c r="C4" s="3"/>
      <c r="D4" s="11"/>
      <c r="E4" s="11"/>
      <c r="F4" s="11"/>
      <c r="G4" s="11"/>
      <c r="H4" s="11"/>
      <c r="I4" s="11"/>
      <c r="J4" s="11"/>
      <c r="K4" s="11"/>
      <c r="L4" s="11"/>
      <c r="M4" s="11"/>
    </row>
    <row r="5" spans="1:14">
      <c r="A5" s="12" t="s">
        <v>7</v>
      </c>
      <c r="B5" s="13" t="s">
        <v>8</v>
      </c>
      <c r="C5" s="4"/>
      <c r="D5" s="13"/>
      <c r="E5" s="13"/>
      <c r="F5" s="13"/>
      <c r="G5" s="13"/>
      <c r="H5" s="13"/>
      <c r="I5" s="13"/>
      <c r="J5" s="13"/>
      <c r="K5" s="13"/>
      <c r="L5" s="13"/>
      <c r="M5" s="13"/>
    </row>
    <row r="6" spans="1:14">
      <c r="A6" s="12" t="s">
        <v>9</v>
      </c>
      <c r="B6" s="13" t="s">
        <v>10</v>
      </c>
      <c r="C6" s="4"/>
      <c r="D6" s="13"/>
      <c r="E6" s="13"/>
      <c r="F6" s="13"/>
      <c r="G6" s="13"/>
      <c r="H6" s="13"/>
      <c r="I6" s="13"/>
      <c r="J6" s="13"/>
      <c r="K6" s="13"/>
      <c r="L6" s="13"/>
      <c r="M6" s="13"/>
    </row>
    <row r="7" spans="1:14" ht="57.95">
      <c r="A7" s="12" t="s">
        <v>11</v>
      </c>
      <c r="B7" s="14" t="s">
        <v>12</v>
      </c>
      <c r="C7" s="13"/>
      <c r="D7" s="13"/>
      <c r="E7" s="13"/>
      <c r="F7" s="13"/>
      <c r="G7" s="13"/>
      <c r="H7" s="13"/>
      <c r="I7" s="13"/>
      <c r="J7" s="13"/>
      <c r="K7" s="13"/>
      <c r="L7" s="13"/>
      <c r="M7" s="13"/>
    </row>
    <row r="8" spans="1:14">
      <c r="A8" s="12" t="s">
        <v>13</v>
      </c>
      <c r="B8" s="13" t="s">
        <v>14</v>
      </c>
      <c r="C8" s="13"/>
      <c r="D8" s="13"/>
      <c r="E8" s="13"/>
      <c r="F8" s="13"/>
      <c r="G8" s="13"/>
      <c r="H8" s="13"/>
      <c r="I8" s="13"/>
      <c r="J8" s="13"/>
      <c r="K8" s="13"/>
      <c r="L8" s="13"/>
      <c r="M8" s="13"/>
    </row>
    <row r="9" spans="1:14">
      <c r="A9" s="12" t="s">
        <v>15</v>
      </c>
      <c r="B9" s="13">
        <v>1</v>
      </c>
      <c r="C9" s="13"/>
      <c r="D9" s="13"/>
      <c r="E9" s="13"/>
      <c r="F9" s="13"/>
      <c r="G9" s="13"/>
      <c r="H9" s="13"/>
      <c r="I9" s="13"/>
      <c r="J9" s="13"/>
      <c r="K9" s="13"/>
      <c r="L9" s="13"/>
      <c r="M9" s="13"/>
    </row>
    <row r="10" spans="1:14">
      <c r="A10" s="12" t="s">
        <v>16</v>
      </c>
      <c r="B10" s="13" t="s">
        <v>17</v>
      </c>
      <c r="C10" s="13"/>
      <c r="D10" s="13"/>
      <c r="E10" s="13"/>
      <c r="F10" s="13"/>
      <c r="G10" s="13"/>
      <c r="H10" s="13"/>
      <c r="I10" s="13"/>
      <c r="J10" s="13"/>
      <c r="K10" s="13"/>
      <c r="L10" s="13"/>
      <c r="M10" s="13"/>
    </row>
    <row r="11" spans="1:14">
      <c r="A11" s="12" t="s">
        <v>18</v>
      </c>
      <c r="B11" s="13" t="s">
        <v>18</v>
      </c>
      <c r="C11" s="13"/>
      <c r="D11" s="13"/>
      <c r="E11" s="13"/>
      <c r="F11" s="13"/>
      <c r="G11" s="13"/>
      <c r="H11" s="13"/>
      <c r="I11" s="13"/>
      <c r="J11" s="13"/>
      <c r="K11" s="13"/>
      <c r="L11" s="13"/>
      <c r="M11" s="13"/>
    </row>
    <row r="12" spans="1:14" ht="15.6">
      <c r="A12" s="5" t="s">
        <v>19</v>
      </c>
      <c r="B12" s="13"/>
      <c r="C12" s="13"/>
      <c r="D12" s="13"/>
      <c r="E12" s="13"/>
      <c r="F12" s="13"/>
      <c r="G12" s="13"/>
      <c r="H12" s="13"/>
      <c r="I12" s="13"/>
      <c r="J12" s="13"/>
      <c r="K12" s="13"/>
      <c r="L12" s="13"/>
      <c r="M12" s="13"/>
    </row>
    <row r="13" spans="1:14" ht="15.6">
      <c r="A13" s="5" t="s">
        <v>20</v>
      </c>
      <c r="B13" s="6" t="s">
        <v>21</v>
      </c>
      <c r="C13" s="6" t="s">
        <v>18</v>
      </c>
      <c r="D13" s="6" t="s">
        <v>22</v>
      </c>
      <c r="E13" s="6" t="s">
        <v>7</v>
      </c>
      <c r="F13" s="6" t="s">
        <v>13</v>
      </c>
      <c r="G13" s="6" t="s">
        <v>16</v>
      </c>
      <c r="H13" s="6" t="s">
        <v>23</v>
      </c>
      <c r="I13" s="6" t="s">
        <v>24</v>
      </c>
      <c r="J13" s="6" t="s">
        <v>25</v>
      </c>
      <c r="K13" s="6" t="s">
        <v>26</v>
      </c>
      <c r="L13" s="6" t="s">
        <v>27</v>
      </c>
      <c r="M13" s="6" t="s">
        <v>28</v>
      </c>
    </row>
    <row r="14" spans="1:14">
      <c r="A14" t="str">
        <f>B4</f>
        <v>aircraft usage, design mission, PEMFC-bat</v>
      </c>
      <c r="B14">
        <v>1</v>
      </c>
      <c r="C14" t="s">
        <v>18</v>
      </c>
      <c r="D14" t="s">
        <v>2</v>
      </c>
      <c r="E14" t="s">
        <v>29</v>
      </c>
      <c r="F14" t="s">
        <v>14</v>
      </c>
      <c r="G14" t="s">
        <v>30</v>
      </c>
      <c r="H14">
        <v>1</v>
      </c>
      <c r="I14">
        <v>1</v>
      </c>
      <c r="J14" t="s">
        <v>31</v>
      </c>
      <c r="K14" t="s">
        <v>31</v>
      </c>
      <c r="L14" t="s">
        <v>31</v>
      </c>
      <c r="M14" t="s">
        <v>31</v>
      </c>
    </row>
    <row r="15" spans="1:14">
      <c r="A15" t="s">
        <v>32</v>
      </c>
      <c r="B15">
        <f>1/(20*365*4)</f>
        <v>3.4246575342465751E-5</v>
      </c>
      <c r="C15" t="s">
        <v>18</v>
      </c>
      <c r="D15" t="s">
        <v>2</v>
      </c>
      <c r="E15" t="s">
        <v>29</v>
      </c>
      <c r="F15" t="s">
        <v>14</v>
      </c>
      <c r="G15" t="s">
        <v>33</v>
      </c>
      <c r="H15">
        <v>1</v>
      </c>
      <c r="I15">
        <v>1</v>
      </c>
      <c r="J15" t="s">
        <v>31</v>
      </c>
      <c r="K15" t="s">
        <v>31</v>
      </c>
      <c r="L15" t="s">
        <v>31</v>
      </c>
      <c r="M15" t="s">
        <v>31</v>
      </c>
    </row>
    <row r="16" spans="1:14">
      <c r="A16" t="s">
        <v>34</v>
      </c>
      <c r="B16">
        <f>1/(18835+18859)</f>
        <v>2.6529421128030986E-5</v>
      </c>
      <c r="C16" t="s">
        <v>18</v>
      </c>
      <c r="D16" t="s">
        <v>2</v>
      </c>
      <c r="E16" t="s">
        <v>29</v>
      </c>
      <c r="F16" t="s">
        <v>35</v>
      </c>
      <c r="G16" t="s">
        <v>33</v>
      </c>
      <c r="H16">
        <v>1</v>
      </c>
      <c r="I16">
        <v>1</v>
      </c>
      <c r="J16" t="s">
        <v>31</v>
      </c>
      <c r="K16" t="s">
        <v>31</v>
      </c>
      <c r="L16" t="s">
        <v>31</v>
      </c>
      <c r="M16" t="s">
        <v>31</v>
      </c>
    </row>
    <row r="17" spans="1:14">
      <c r="A17" t="s">
        <v>36</v>
      </c>
      <c r="B17">
        <v>209.09</v>
      </c>
      <c r="C17" t="s">
        <v>37</v>
      </c>
      <c r="D17" t="s">
        <v>2</v>
      </c>
      <c r="E17" t="s">
        <v>29</v>
      </c>
      <c r="F17" t="s">
        <v>14</v>
      </c>
      <c r="G17" t="s">
        <v>33</v>
      </c>
      <c r="H17">
        <v>2</v>
      </c>
      <c r="I17">
        <f>LN(B17)</f>
        <v>5.3427647812833321</v>
      </c>
      <c r="J17">
        <v>5.0990195135927806E-2</v>
      </c>
      <c r="K17" t="s">
        <v>31</v>
      </c>
      <c r="L17" t="s">
        <v>31</v>
      </c>
      <c r="M17" t="s">
        <v>31</v>
      </c>
    </row>
    <row r="18" spans="1:14">
      <c r="A18" t="s">
        <v>38</v>
      </c>
      <c r="B18">
        <v>1786.0425969999999</v>
      </c>
      <c r="C18" t="s">
        <v>39</v>
      </c>
      <c r="D18" t="s">
        <v>40</v>
      </c>
      <c r="E18" t="s">
        <v>29</v>
      </c>
      <c r="F18" t="s">
        <v>14</v>
      </c>
      <c r="G18" t="s">
        <v>33</v>
      </c>
      <c r="H18">
        <v>2</v>
      </c>
      <c r="I18">
        <v>8.4693444839373466</v>
      </c>
      <c r="J18">
        <v>5.0990195135927806E-2</v>
      </c>
      <c r="K18" t="s">
        <v>31</v>
      </c>
      <c r="L18" t="s">
        <v>31</v>
      </c>
      <c r="M18" t="s">
        <v>31</v>
      </c>
    </row>
    <row r="19" spans="1:14">
      <c r="A19" t="s">
        <v>41</v>
      </c>
      <c r="B19">
        <f>N19/1000</f>
        <v>1.8689339999999999</v>
      </c>
      <c r="C19" t="s">
        <v>42</v>
      </c>
      <c r="D19" t="s">
        <v>43</v>
      </c>
      <c r="E19" t="s">
        <v>44</v>
      </c>
      <c r="F19" t="s">
        <v>29</v>
      </c>
      <c r="G19" t="s">
        <v>45</v>
      </c>
      <c r="H19">
        <v>2</v>
      </c>
      <c r="I19">
        <f t="shared" ref="I19" si="0">LN(B19)</f>
        <v>0.62536821484830185</v>
      </c>
      <c r="J19">
        <v>5.0990195135927806E-2</v>
      </c>
      <c r="K19" t="s">
        <v>31</v>
      </c>
      <c r="L19" t="s">
        <v>31</v>
      </c>
      <c r="M19" t="s">
        <v>31</v>
      </c>
      <c r="N19">
        <v>1868.934</v>
      </c>
    </row>
    <row r="20" spans="1:14" ht="15.6">
      <c r="A20" s="1" t="s">
        <v>5</v>
      </c>
      <c r="B20" s="2" t="s">
        <v>46</v>
      </c>
      <c r="C20" s="3"/>
      <c r="D20" s="11"/>
      <c r="E20" s="11"/>
      <c r="F20" s="11"/>
      <c r="G20" s="11"/>
      <c r="H20" s="11"/>
      <c r="I20" s="11"/>
      <c r="J20" s="11"/>
      <c r="K20" s="11"/>
      <c r="L20" s="11"/>
      <c r="M20" s="11"/>
    </row>
    <row r="21" spans="1:14">
      <c r="A21" s="12" t="s">
        <v>7</v>
      </c>
      <c r="B21" s="13" t="s">
        <v>8</v>
      </c>
      <c r="C21" s="4"/>
      <c r="D21" s="13"/>
      <c r="E21" s="13"/>
      <c r="F21" s="13"/>
      <c r="G21" s="13"/>
      <c r="H21" s="13"/>
      <c r="I21" s="13"/>
      <c r="J21" s="13"/>
      <c r="K21" s="13"/>
      <c r="L21" s="13"/>
      <c r="M21" s="13"/>
    </row>
    <row r="22" spans="1:14">
      <c r="A22" s="12" t="s">
        <v>9</v>
      </c>
      <c r="B22" s="13" t="s">
        <v>47</v>
      </c>
      <c r="C22" s="4"/>
      <c r="D22" s="13"/>
      <c r="E22" s="13"/>
      <c r="F22" s="13"/>
      <c r="G22" s="13"/>
      <c r="H22" s="13"/>
      <c r="I22" s="13"/>
      <c r="J22" s="13"/>
      <c r="K22" s="13"/>
      <c r="L22" s="13"/>
      <c r="M22" s="13"/>
    </row>
    <row r="23" spans="1:14" ht="57.95">
      <c r="A23" s="12" t="s">
        <v>11</v>
      </c>
      <c r="B23" s="14" t="s">
        <v>48</v>
      </c>
      <c r="C23" s="13"/>
      <c r="D23" s="13"/>
      <c r="E23" s="13"/>
      <c r="F23" s="13"/>
      <c r="G23" s="13"/>
      <c r="H23" s="13"/>
      <c r="I23" s="13"/>
      <c r="J23" s="13"/>
      <c r="K23" s="13"/>
      <c r="L23" s="13"/>
      <c r="M23" s="13"/>
    </row>
    <row r="24" spans="1:14">
      <c r="A24" s="12" t="s">
        <v>13</v>
      </c>
      <c r="B24" s="13" t="s">
        <v>14</v>
      </c>
      <c r="C24" s="13"/>
      <c r="D24" s="13"/>
      <c r="E24" s="13"/>
      <c r="F24" s="13"/>
      <c r="G24" s="13"/>
      <c r="H24" s="13"/>
      <c r="I24" s="13"/>
      <c r="J24" s="13"/>
      <c r="K24" s="13"/>
      <c r="L24" s="13"/>
      <c r="M24" s="13"/>
    </row>
    <row r="25" spans="1:14">
      <c r="A25" s="12" t="s">
        <v>15</v>
      </c>
      <c r="B25" s="13">
        <v>1</v>
      </c>
      <c r="C25" s="13"/>
      <c r="D25" s="13"/>
      <c r="E25" s="13"/>
      <c r="F25" s="13"/>
      <c r="G25" s="13"/>
      <c r="H25" s="13"/>
      <c r="I25" s="13"/>
      <c r="J25" s="13"/>
      <c r="K25" s="13"/>
      <c r="L25" s="13"/>
      <c r="M25" s="13"/>
    </row>
    <row r="26" spans="1:14">
      <c r="A26" s="12" t="s">
        <v>16</v>
      </c>
      <c r="B26" s="13" t="s">
        <v>17</v>
      </c>
      <c r="C26" s="13"/>
      <c r="D26" s="13"/>
      <c r="E26" s="13"/>
      <c r="F26" s="13"/>
      <c r="G26" s="13"/>
      <c r="H26" s="13"/>
      <c r="I26" s="13"/>
      <c r="J26" s="13"/>
      <c r="K26" s="13"/>
      <c r="L26" s="13"/>
      <c r="M26" s="13"/>
    </row>
    <row r="27" spans="1:14">
      <c r="A27" s="12" t="s">
        <v>18</v>
      </c>
      <c r="B27" s="13" t="s">
        <v>18</v>
      </c>
      <c r="C27" s="13"/>
      <c r="D27" s="13"/>
      <c r="E27" s="13"/>
      <c r="F27" s="13"/>
      <c r="G27" s="13"/>
      <c r="H27" s="13"/>
      <c r="I27" s="13"/>
      <c r="J27" s="13"/>
      <c r="K27" s="13"/>
      <c r="L27" s="13"/>
      <c r="M27" s="13"/>
    </row>
    <row r="28" spans="1:14" ht="15.6">
      <c r="A28" s="5" t="s">
        <v>19</v>
      </c>
      <c r="B28" s="13"/>
      <c r="C28" s="13"/>
      <c r="D28" s="13"/>
      <c r="E28" s="13"/>
      <c r="F28" s="13"/>
      <c r="G28" s="13"/>
      <c r="H28" s="13"/>
      <c r="I28" s="13"/>
      <c r="J28" s="13"/>
      <c r="K28" s="13"/>
      <c r="L28" s="13"/>
      <c r="M28" s="13"/>
    </row>
    <row r="29" spans="1:14" ht="15.6">
      <c r="A29" s="5" t="s">
        <v>20</v>
      </c>
      <c r="B29" s="6" t="s">
        <v>21</v>
      </c>
      <c r="C29" s="6" t="s">
        <v>18</v>
      </c>
      <c r="D29" s="6" t="s">
        <v>22</v>
      </c>
      <c r="E29" s="6" t="s">
        <v>7</v>
      </c>
      <c r="F29" s="6" t="s">
        <v>13</v>
      </c>
      <c r="G29" s="6" t="s">
        <v>16</v>
      </c>
      <c r="H29" s="6" t="s">
        <v>23</v>
      </c>
      <c r="I29" s="6" t="s">
        <v>24</v>
      </c>
      <c r="J29" s="6" t="s">
        <v>25</v>
      </c>
      <c r="K29" s="6" t="s">
        <v>26</v>
      </c>
      <c r="L29" s="6" t="s">
        <v>27</v>
      </c>
      <c r="M29" s="6" t="s">
        <v>28</v>
      </c>
    </row>
    <row r="30" spans="1:14">
      <c r="A30" t="str">
        <f>B20</f>
        <v>aircraft usage, typical mission, PEMFC-bat</v>
      </c>
      <c r="B30">
        <v>1</v>
      </c>
      <c r="C30" t="s">
        <v>18</v>
      </c>
      <c r="D30" t="s">
        <v>2</v>
      </c>
      <c r="E30" t="s">
        <v>29</v>
      </c>
      <c r="F30" t="s">
        <v>14</v>
      </c>
      <c r="G30" t="s">
        <v>30</v>
      </c>
      <c r="H30">
        <v>1</v>
      </c>
      <c r="I30">
        <v>1</v>
      </c>
      <c r="J30" t="s">
        <v>31</v>
      </c>
      <c r="K30" t="s">
        <v>31</v>
      </c>
      <c r="L30" t="s">
        <v>31</v>
      </c>
      <c r="M30" t="s">
        <v>31</v>
      </c>
    </row>
    <row r="31" spans="1:14">
      <c r="A31" t="s">
        <v>32</v>
      </c>
      <c r="B31">
        <f>1/(20*365*4)</f>
        <v>3.4246575342465751E-5</v>
      </c>
      <c r="C31" t="s">
        <v>18</v>
      </c>
      <c r="D31" t="s">
        <v>2</v>
      </c>
      <c r="E31" t="s">
        <v>29</v>
      </c>
      <c r="F31" t="s">
        <v>14</v>
      </c>
      <c r="G31" t="s">
        <v>33</v>
      </c>
      <c r="H31">
        <v>1</v>
      </c>
      <c r="I31">
        <v>1</v>
      </c>
      <c r="J31" t="s">
        <v>31</v>
      </c>
      <c r="K31" t="s">
        <v>31</v>
      </c>
      <c r="L31" t="s">
        <v>31</v>
      </c>
      <c r="M31" t="s">
        <v>31</v>
      </c>
    </row>
    <row r="32" spans="1:14">
      <c r="A32" t="s">
        <v>34</v>
      </c>
      <c r="B32">
        <f>1/(18835+18859)</f>
        <v>2.6529421128030986E-5</v>
      </c>
      <c r="C32" t="s">
        <v>18</v>
      </c>
      <c r="D32" t="s">
        <v>2</v>
      </c>
      <c r="E32" t="s">
        <v>29</v>
      </c>
      <c r="F32" t="s">
        <v>35</v>
      </c>
      <c r="G32" t="s">
        <v>33</v>
      </c>
      <c r="H32">
        <v>1</v>
      </c>
      <c r="I32">
        <v>1</v>
      </c>
      <c r="J32" t="s">
        <v>31</v>
      </c>
      <c r="K32" t="s">
        <v>31</v>
      </c>
      <c r="L32" t="s">
        <v>31</v>
      </c>
      <c r="M32" t="s">
        <v>31</v>
      </c>
    </row>
    <row r="33" spans="1:14">
      <c r="A33" t="s">
        <v>36</v>
      </c>
      <c r="B33" s="23">
        <v>60.38</v>
      </c>
      <c r="C33" t="s">
        <v>37</v>
      </c>
      <c r="D33" t="s">
        <v>2</v>
      </c>
      <c r="E33" t="s">
        <v>29</v>
      </c>
      <c r="F33" t="s">
        <v>14</v>
      </c>
      <c r="G33" t="s">
        <v>33</v>
      </c>
      <c r="H33">
        <v>2</v>
      </c>
      <c r="I33">
        <f>LN(B33)</f>
        <v>4.1006579242786927</v>
      </c>
      <c r="J33">
        <v>5.0990195135927806E-2</v>
      </c>
      <c r="K33" t="s">
        <v>31</v>
      </c>
      <c r="L33" t="s">
        <v>31</v>
      </c>
      <c r="M33" t="s">
        <v>31</v>
      </c>
    </row>
    <row r="34" spans="1:14">
      <c r="A34" t="s">
        <v>38</v>
      </c>
      <c r="B34" s="23">
        <v>892.91161420000003</v>
      </c>
      <c r="C34" t="s">
        <v>39</v>
      </c>
      <c r="D34" t="s">
        <v>40</v>
      </c>
      <c r="E34" t="s">
        <v>29</v>
      </c>
      <c r="F34" t="s">
        <v>14</v>
      </c>
      <c r="G34" t="s">
        <v>33</v>
      </c>
      <c r="H34">
        <v>2</v>
      </c>
      <c r="I34">
        <f>LN(B34)</f>
        <v>6.7944875997182272</v>
      </c>
      <c r="J34">
        <v>5.0990195135927806E-2</v>
      </c>
      <c r="K34" t="s">
        <v>31</v>
      </c>
      <c r="L34" t="s">
        <v>31</v>
      </c>
      <c r="M34" t="s">
        <v>31</v>
      </c>
    </row>
    <row r="35" spans="1:14">
      <c r="A35" t="s">
        <v>41</v>
      </c>
      <c r="B35">
        <f>N35/1000</f>
        <v>0.53970700000000005</v>
      </c>
      <c r="C35" t="s">
        <v>42</v>
      </c>
      <c r="D35" t="s">
        <v>43</v>
      </c>
      <c r="E35" t="s">
        <v>44</v>
      </c>
      <c r="F35" t="s">
        <v>29</v>
      </c>
      <c r="G35" t="s">
        <v>45</v>
      </c>
      <c r="H35">
        <v>2</v>
      </c>
      <c r="I35">
        <f t="shared" ref="I35" si="1">LN(B35)</f>
        <v>-0.61672887927303954</v>
      </c>
      <c r="J35">
        <v>5.0990195135927806E-2</v>
      </c>
      <c r="K35" t="s">
        <v>31</v>
      </c>
      <c r="L35" t="s">
        <v>31</v>
      </c>
      <c r="M35" t="s">
        <v>31</v>
      </c>
      <c r="N35">
        <v>539.70699999999999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5D0DF-E451-4350-96D2-256EFDF76683}">
  <dimension ref="A1:X48"/>
  <sheetViews>
    <sheetView topLeftCell="A16" workbookViewId="0">
      <selection activeCell="A12" sqref="A12"/>
    </sheetView>
  </sheetViews>
  <sheetFormatPr defaultRowHeight="14.45"/>
  <cols>
    <col min="1" max="1" width="75.28515625" bestFit="1" customWidth="1"/>
    <col min="2" max="2" width="11" customWidth="1"/>
    <col min="4" max="4" width="15.28515625" customWidth="1"/>
    <col min="5" max="5" width="32.7109375" bestFit="1" customWidth="1"/>
    <col min="6" max="6" width="11" bestFit="1" customWidth="1"/>
    <col min="7" max="7" width="13.85546875" bestFit="1" customWidth="1"/>
  </cols>
  <sheetData>
    <row r="1" spans="1:24" s="268" customFormat="1">
      <c r="A1" s="268" t="s">
        <v>0</v>
      </c>
      <c r="B1" s="268" t="s">
        <v>286</v>
      </c>
      <c r="C1" s="149"/>
    </row>
    <row r="2" spans="1:24">
      <c r="A2" s="224" t="s">
        <v>5</v>
      </c>
      <c r="B2" s="224" t="s">
        <v>275</v>
      </c>
      <c r="C2" s="224"/>
      <c r="D2" s="69"/>
      <c r="E2" s="70"/>
      <c r="F2" s="70"/>
      <c r="G2" s="70"/>
      <c r="H2" s="70"/>
      <c r="I2" s="70"/>
      <c r="J2" s="70"/>
      <c r="K2" s="70"/>
      <c r="L2" s="70"/>
      <c r="M2" s="70"/>
      <c r="N2" s="70"/>
      <c r="O2" s="70"/>
      <c r="P2" s="70"/>
      <c r="Q2" s="70" t="s">
        <v>231</v>
      </c>
      <c r="S2" s="22"/>
      <c r="T2" s="22"/>
      <c r="U2" s="22"/>
      <c r="V2" s="22"/>
      <c r="W2" s="22"/>
      <c r="X2" s="22"/>
    </row>
    <row r="3" spans="1:24">
      <c r="A3" t="s">
        <v>7</v>
      </c>
      <c r="B3" t="s">
        <v>232</v>
      </c>
      <c r="Q3" t="s">
        <v>231</v>
      </c>
      <c r="S3" s="22"/>
      <c r="T3" s="22"/>
      <c r="U3" s="22"/>
      <c r="V3" s="22"/>
      <c r="W3" s="22"/>
      <c r="X3" s="22"/>
    </row>
    <row r="4" spans="1:24">
      <c r="A4" t="s">
        <v>9</v>
      </c>
      <c r="B4" s="22" t="s">
        <v>287</v>
      </c>
      <c r="C4" s="22"/>
      <c r="Q4" t="s">
        <v>231</v>
      </c>
      <c r="S4" s="22"/>
      <c r="T4" s="22"/>
      <c r="U4" s="22"/>
      <c r="V4" s="22"/>
      <c r="W4" s="22"/>
      <c r="X4" s="22"/>
    </row>
    <row r="5" spans="1:24">
      <c r="A5" t="s">
        <v>11</v>
      </c>
      <c r="B5" t="s">
        <v>288</v>
      </c>
      <c r="Q5" t="s">
        <v>231</v>
      </c>
      <c r="S5" s="22"/>
      <c r="T5" s="22"/>
      <c r="U5" s="22"/>
      <c r="V5" s="22"/>
      <c r="W5" s="22"/>
      <c r="X5" s="22"/>
    </row>
    <row r="6" spans="1:24">
      <c r="A6" t="s">
        <v>13</v>
      </c>
      <c r="B6" t="s">
        <v>82</v>
      </c>
      <c r="Q6" t="s">
        <v>231</v>
      </c>
      <c r="S6" s="22"/>
      <c r="T6" s="22"/>
      <c r="U6" s="22"/>
      <c r="V6" s="22"/>
      <c r="W6" s="22"/>
      <c r="X6" s="22"/>
    </row>
    <row r="7" spans="1:24">
      <c r="A7" t="s">
        <v>15</v>
      </c>
      <c r="B7">
        <v>1</v>
      </c>
      <c r="Q7" t="s">
        <v>231</v>
      </c>
      <c r="S7" s="22"/>
      <c r="T7" s="22"/>
      <c r="U7" s="22"/>
      <c r="V7" s="22"/>
      <c r="W7" s="22"/>
      <c r="X7" s="22"/>
    </row>
    <row r="8" spans="1:24">
      <c r="A8" t="s">
        <v>16</v>
      </c>
      <c r="B8" t="s">
        <v>17</v>
      </c>
      <c r="Q8" t="s">
        <v>231</v>
      </c>
      <c r="S8" s="22"/>
      <c r="T8" s="22"/>
      <c r="U8" s="22"/>
      <c r="V8" s="22"/>
      <c r="W8" s="22"/>
      <c r="X8" s="22"/>
    </row>
    <row r="9" spans="1:24">
      <c r="A9" t="s">
        <v>18</v>
      </c>
      <c r="B9" t="s">
        <v>37</v>
      </c>
      <c r="E9" t="s">
        <v>235</v>
      </c>
      <c r="Q9" t="s">
        <v>231</v>
      </c>
      <c r="S9" s="22"/>
      <c r="T9" s="22"/>
      <c r="U9" s="22"/>
      <c r="V9" s="22"/>
      <c r="W9" s="22"/>
      <c r="X9" s="22"/>
    </row>
    <row r="10" spans="1:24">
      <c r="A10" s="131" t="s">
        <v>19</v>
      </c>
      <c r="Q10" t="s">
        <v>231</v>
      </c>
      <c r="S10" s="22"/>
      <c r="T10" s="22"/>
      <c r="U10" s="22"/>
      <c r="V10" s="22"/>
      <c r="W10" s="22"/>
      <c r="X10" s="22"/>
    </row>
    <row r="11" spans="1:24">
      <c r="A11" s="131" t="s">
        <v>20</v>
      </c>
      <c r="B11" s="131" t="s">
        <v>21</v>
      </c>
      <c r="C11" s="131" t="s">
        <v>217</v>
      </c>
      <c r="D11" s="131" t="s">
        <v>18</v>
      </c>
      <c r="E11" s="131" t="s">
        <v>22</v>
      </c>
      <c r="F11" s="131" t="s">
        <v>7</v>
      </c>
      <c r="G11" s="131" t="s">
        <v>13</v>
      </c>
      <c r="H11" s="131" t="s">
        <v>16</v>
      </c>
      <c r="I11" s="131" t="s">
        <v>23</v>
      </c>
      <c r="J11" s="131" t="s">
        <v>24</v>
      </c>
      <c r="K11" s="131" t="s">
        <v>25</v>
      </c>
      <c r="L11" s="131" t="s">
        <v>26</v>
      </c>
      <c r="M11" s="131" t="s">
        <v>27</v>
      </c>
      <c r="N11" s="131" t="s">
        <v>28</v>
      </c>
      <c r="O11" s="131" t="s">
        <v>11</v>
      </c>
      <c r="P11" s="177" t="s">
        <v>236</v>
      </c>
      <c r="Q11" t="s">
        <v>231</v>
      </c>
      <c r="S11" s="22"/>
      <c r="T11" s="22"/>
      <c r="U11" s="22"/>
      <c r="V11" s="22"/>
      <c r="W11" s="22"/>
      <c r="X11" s="22"/>
    </row>
    <row r="12" spans="1:24">
      <c r="A12" t="s">
        <v>275</v>
      </c>
      <c r="B12">
        <v>1</v>
      </c>
      <c r="D12" t="s">
        <v>37</v>
      </c>
      <c r="E12" t="s">
        <v>2</v>
      </c>
      <c r="F12" t="s">
        <v>29</v>
      </c>
      <c r="G12" t="s">
        <v>82</v>
      </c>
      <c r="H12" t="s">
        <v>30</v>
      </c>
      <c r="I12">
        <v>1</v>
      </c>
      <c r="J12">
        <v>1</v>
      </c>
      <c r="K12" t="s">
        <v>31</v>
      </c>
      <c r="L12" t="s">
        <v>31</v>
      </c>
      <c r="M12" t="s">
        <v>31</v>
      </c>
      <c r="N12" t="s">
        <v>31</v>
      </c>
      <c r="Q12" t="s">
        <v>231</v>
      </c>
      <c r="S12" s="22"/>
      <c r="T12" s="22"/>
      <c r="U12" s="22"/>
      <c r="V12" s="22"/>
      <c r="W12" s="22"/>
      <c r="X12" s="22"/>
    </row>
    <row r="13" spans="1:24">
      <c r="A13" s="59" t="s">
        <v>81</v>
      </c>
      <c r="B13">
        <v>-1</v>
      </c>
      <c r="D13" t="s">
        <v>37</v>
      </c>
      <c r="E13" s="223" t="s">
        <v>40</v>
      </c>
      <c r="F13" s="223" t="s">
        <v>29</v>
      </c>
      <c r="G13" s="223" t="s">
        <v>82</v>
      </c>
      <c r="H13" s="223" t="s">
        <v>33</v>
      </c>
      <c r="I13">
        <v>1</v>
      </c>
      <c r="J13">
        <v>1</v>
      </c>
      <c r="K13" t="s">
        <v>31</v>
      </c>
      <c r="L13" t="s">
        <v>31</v>
      </c>
      <c r="M13" t="s">
        <v>31</v>
      </c>
      <c r="N13" t="s">
        <v>31</v>
      </c>
      <c r="Q13" s="22" t="s">
        <v>231</v>
      </c>
      <c r="S13" s="22"/>
      <c r="T13" s="22"/>
      <c r="U13" s="22"/>
      <c r="V13" s="22"/>
      <c r="W13" s="22"/>
      <c r="X13" s="22"/>
    </row>
    <row r="14" spans="1:24">
      <c r="A14" s="224" t="s">
        <v>5</v>
      </c>
      <c r="B14" s="224" t="s">
        <v>289</v>
      </c>
      <c r="C14" s="224"/>
      <c r="D14" s="69"/>
      <c r="E14" s="70"/>
      <c r="F14" s="70"/>
      <c r="G14" s="70"/>
      <c r="H14" s="70"/>
      <c r="I14" s="70"/>
      <c r="J14" s="70"/>
      <c r="K14" s="70"/>
      <c r="L14" s="70"/>
      <c r="M14" s="70"/>
      <c r="N14" s="70"/>
      <c r="O14" s="70"/>
      <c r="P14" s="70"/>
      <c r="Q14" s="70" t="s">
        <v>231</v>
      </c>
      <c r="S14" s="22"/>
      <c r="T14" s="22"/>
      <c r="U14" s="22"/>
      <c r="V14" s="22"/>
      <c r="W14" s="22"/>
      <c r="X14" s="22"/>
    </row>
    <row r="15" spans="1:24">
      <c r="A15" t="s">
        <v>7</v>
      </c>
      <c r="B15" t="s">
        <v>232</v>
      </c>
      <c r="Q15" t="s">
        <v>231</v>
      </c>
      <c r="S15" s="22"/>
      <c r="T15" s="22"/>
      <c r="U15" s="22"/>
      <c r="V15" s="22"/>
      <c r="W15" s="22"/>
      <c r="X15" s="22"/>
    </row>
    <row r="16" spans="1:24">
      <c r="A16" t="s">
        <v>9</v>
      </c>
      <c r="B16" s="22" t="s">
        <v>290</v>
      </c>
      <c r="C16" s="22"/>
      <c r="Q16" t="s">
        <v>231</v>
      </c>
      <c r="S16" s="22"/>
      <c r="T16" s="22"/>
      <c r="U16" s="22"/>
      <c r="V16" s="22"/>
      <c r="W16" s="22"/>
      <c r="X16" s="22"/>
    </row>
    <row r="17" spans="1:24">
      <c r="A17" t="s">
        <v>11</v>
      </c>
      <c r="B17" t="s">
        <v>288</v>
      </c>
      <c r="Q17" t="s">
        <v>231</v>
      </c>
      <c r="S17" s="22"/>
      <c r="T17" s="22"/>
      <c r="U17" s="22"/>
      <c r="V17" s="22"/>
      <c r="W17" s="22"/>
      <c r="X17" s="22"/>
    </row>
    <row r="18" spans="1:24">
      <c r="A18" t="s">
        <v>13</v>
      </c>
      <c r="B18" t="s">
        <v>59</v>
      </c>
      <c r="Q18" t="s">
        <v>231</v>
      </c>
      <c r="S18" s="22"/>
      <c r="T18" s="22"/>
      <c r="U18" s="22"/>
      <c r="V18" s="22"/>
      <c r="W18" s="22"/>
      <c r="X18" s="22"/>
    </row>
    <row r="19" spans="1:24">
      <c r="A19" t="s">
        <v>15</v>
      </c>
      <c r="B19">
        <v>1</v>
      </c>
      <c r="Q19" t="s">
        <v>231</v>
      </c>
      <c r="S19" s="22"/>
      <c r="T19" s="22"/>
      <c r="U19" s="22"/>
      <c r="V19" s="22"/>
      <c r="W19" s="22"/>
      <c r="X19" s="22"/>
    </row>
    <row r="20" spans="1:24">
      <c r="A20" t="s">
        <v>16</v>
      </c>
      <c r="B20" t="s">
        <v>17</v>
      </c>
      <c r="Q20" t="s">
        <v>231</v>
      </c>
      <c r="S20" s="22"/>
      <c r="T20" s="22"/>
      <c r="U20" s="22"/>
      <c r="V20" s="22"/>
      <c r="W20" s="22"/>
      <c r="X20" s="22"/>
    </row>
    <row r="21" spans="1:24">
      <c r="A21" t="s">
        <v>18</v>
      </c>
      <c r="B21" t="s">
        <v>37</v>
      </c>
      <c r="E21" t="s">
        <v>235</v>
      </c>
      <c r="Q21" t="s">
        <v>231</v>
      </c>
      <c r="S21" s="22"/>
      <c r="T21" s="22"/>
      <c r="U21" s="22"/>
      <c r="V21" s="22"/>
      <c r="W21" s="22"/>
      <c r="X21" s="22"/>
    </row>
    <row r="22" spans="1:24">
      <c r="A22" s="131" t="s">
        <v>19</v>
      </c>
      <c r="Q22" t="s">
        <v>231</v>
      </c>
      <c r="S22" s="22"/>
      <c r="T22" s="22"/>
      <c r="U22" s="22"/>
      <c r="V22" s="22"/>
      <c r="W22" s="22"/>
      <c r="X22" s="22"/>
    </row>
    <row r="23" spans="1:24">
      <c r="A23" s="131" t="s">
        <v>20</v>
      </c>
      <c r="B23" s="131" t="s">
        <v>21</v>
      </c>
      <c r="C23" s="131" t="s">
        <v>217</v>
      </c>
      <c r="D23" s="131" t="s">
        <v>18</v>
      </c>
      <c r="E23" s="131" t="s">
        <v>22</v>
      </c>
      <c r="F23" s="131" t="s">
        <v>7</v>
      </c>
      <c r="G23" s="131" t="s">
        <v>13</v>
      </c>
      <c r="H23" s="131" t="s">
        <v>16</v>
      </c>
      <c r="I23" s="131" t="s">
        <v>23</v>
      </c>
      <c r="J23" s="131" t="s">
        <v>24</v>
      </c>
      <c r="K23" s="131" t="s">
        <v>25</v>
      </c>
      <c r="L23" s="131" t="s">
        <v>26</v>
      </c>
      <c r="M23" s="131" t="s">
        <v>27</v>
      </c>
      <c r="N23" s="131" t="s">
        <v>28</v>
      </c>
      <c r="O23" s="131" t="s">
        <v>11</v>
      </c>
      <c r="P23" s="177" t="s">
        <v>236</v>
      </c>
      <c r="Q23" t="s">
        <v>231</v>
      </c>
      <c r="S23" s="22"/>
      <c r="T23" s="22"/>
      <c r="U23" s="22"/>
      <c r="V23" s="22"/>
      <c r="W23" s="22"/>
      <c r="X23" s="22"/>
    </row>
    <row r="24" spans="1:24">
      <c r="A24" t="s">
        <v>289</v>
      </c>
      <c r="B24">
        <v>1</v>
      </c>
      <c r="D24" t="s">
        <v>37</v>
      </c>
      <c r="E24" t="s">
        <v>2</v>
      </c>
      <c r="F24" t="s">
        <v>29</v>
      </c>
      <c r="G24" t="s">
        <v>59</v>
      </c>
      <c r="H24" t="s">
        <v>30</v>
      </c>
      <c r="I24">
        <v>1</v>
      </c>
      <c r="J24">
        <v>1</v>
      </c>
      <c r="K24" t="s">
        <v>31</v>
      </c>
      <c r="L24" t="s">
        <v>31</v>
      </c>
      <c r="M24" t="s">
        <v>31</v>
      </c>
      <c r="N24" t="s">
        <v>31</v>
      </c>
      <c r="Q24" t="s">
        <v>231</v>
      </c>
      <c r="S24" s="22"/>
      <c r="T24" s="22"/>
      <c r="U24" s="22"/>
      <c r="V24" s="22"/>
      <c r="W24" s="22"/>
      <c r="X24" s="22"/>
    </row>
    <row r="25" spans="1:24">
      <c r="A25" s="204" t="s">
        <v>291</v>
      </c>
      <c r="B25">
        <v>-1</v>
      </c>
      <c r="D25" t="s">
        <v>37</v>
      </c>
      <c r="E25" s="223" t="s">
        <v>40</v>
      </c>
      <c r="F25" s="223" t="s">
        <v>29</v>
      </c>
      <c r="G25" s="223" t="s">
        <v>59</v>
      </c>
      <c r="H25" s="223" t="s">
        <v>33</v>
      </c>
      <c r="I25">
        <v>1</v>
      </c>
      <c r="J25">
        <v>1</v>
      </c>
      <c r="K25" t="s">
        <v>31</v>
      </c>
      <c r="L25" t="s">
        <v>31</v>
      </c>
      <c r="M25" t="s">
        <v>31</v>
      </c>
      <c r="N25" t="s">
        <v>31</v>
      </c>
      <c r="Q25" s="22" t="s">
        <v>231</v>
      </c>
      <c r="S25" s="22"/>
      <c r="T25" s="22"/>
      <c r="U25" s="22"/>
      <c r="V25" s="22"/>
      <c r="W25" s="22"/>
      <c r="X25" s="22"/>
    </row>
    <row r="26" spans="1:24" s="70" customFormat="1">
      <c r="A26" s="224" t="s">
        <v>5</v>
      </c>
      <c r="B26" s="224" t="s">
        <v>292</v>
      </c>
      <c r="C26" s="224"/>
      <c r="D26" s="69"/>
      <c r="Q26" s="70" t="s">
        <v>231</v>
      </c>
      <c r="S26" s="225"/>
      <c r="T26" s="225"/>
      <c r="U26" s="225"/>
      <c r="V26" s="225"/>
      <c r="W26" s="225"/>
      <c r="X26" s="225"/>
    </row>
    <row r="27" spans="1:24">
      <c r="A27" t="s">
        <v>7</v>
      </c>
      <c r="B27" t="s">
        <v>232</v>
      </c>
      <c r="Q27" t="s">
        <v>231</v>
      </c>
      <c r="S27" s="22"/>
      <c r="T27" s="22"/>
      <c r="U27" s="22"/>
      <c r="V27" s="22"/>
      <c r="W27" s="22"/>
      <c r="X27" s="22"/>
    </row>
    <row r="28" spans="1:24">
      <c r="A28" t="s">
        <v>9</v>
      </c>
      <c r="B28" s="22" t="s">
        <v>293</v>
      </c>
      <c r="C28" s="22"/>
      <c r="Q28" t="s">
        <v>231</v>
      </c>
      <c r="S28" s="22"/>
      <c r="T28" s="22"/>
      <c r="U28" s="22"/>
      <c r="V28" s="22"/>
      <c r="W28" s="22"/>
      <c r="X28" s="22"/>
    </row>
    <row r="29" spans="1:24">
      <c r="A29" t="s">
        <v>11</v>
      </c>
      <c r="B29" t="s">
        <v>288</v>
      </c>
      <c r="Q29" t="s">
        <v>231</v>
      </c>
      <c r="S29" s="22"/>
      <c r="T29" s="22"/>
      <c r="U29" s="22"/>
      <c r="V29" s="22"/>
      <c r="W29" s="22"/>
      <c r="X29" s="22"/>
    </row>
    <row r="30" spans="1:24">
      <c r="A30" t="s">
        <v>13</v>
      </c>
      <c r="B30" t="s">
        <v>82</v>
      </c>
      <c r="Q30" t="s">
        <v>231</v>
      </c>
      <c r="S30" s="22"/>
      <c r="T30" s="22"/>
      <c r="U30" s="22"/>
      <c r="V30" s="22"/>
      <c r="W30" s="22"/>
      <c r="X30" s="22"/>
    </row>
    <row r="31" spans="1:24">
      <c r="A31" t="s">
        <v>15</v>
      </c>
      <c r="B31">
        <v>1</v>
      </c>
      <c r="Q31" t="s">
        <v>231</v>
      </c>
      <c r="S31" s="22"/>
      <c r="T31" s="22"/>
      <c r="U31" s="22"/>
      <c r="V31" s="22"/>
      <c r="W31" s="22"/>
      <c r="X31" s="22"/>
    </row>
    <row r="32" spans="1:24">
      <c r="A32" t="s">
        <v>16</v>
      </c>
      <c r="B32" t="s">
        <v>17</v>
      </c>
      <c r="Q32" t="s">
        <v>231</v>
      </c>
      <c r="S32" s="22"/>
      <c r="T32" s="22"/>
      <c r="U32" s="22"/>
      <c r="V32" s="22"/>
      <c r="W32" s="22"/>
      <c r="X32" s="22"/>
    </row>
    <row r="33" spans="1:24">
      <c r="A33" t="s">
        <v>18</v>
      </c>
      <c r="B33" t="str">
        <f>D36</f>
        <v>kilogram</v>
      </c>
      <c r="E33" t="s">
        <v>235</v>
      </c>
      <c r="Q33" t="s">
        <v>231</v>
      </c>
      <c r="S33" s="22"/>
      <c r="T33" s="22"/>
      <c r="U33" s="22"/>
      <c r="V33" s="22"/>
      <c r="W33" s="22"/>
      <c r="X33" s="22"/>
    </row>
    <row r="34" spans="1:24">
      <c r="A34" s="131" t="s">
        <v>19</v>
      </c>
      <c r="Q34" t="s">
        <v>231</v>
      </c>
      <c r="S34" s="22"/>
      <c r="T34" s="22"/>
      <c r="U34" s="22"/>
      <c r="V34" s="22"/>
      <c r="W34" s="22"/>
      <c r="X34" s="22"/>
    </row>
    <row r="35" spans="1:24">
      <c r="A35" s="131" t="s">
        <v>20</v>
      </c>
      <c r="B35" s="131" t="s">
        <v>21</v>
      </c>
      <c r="C35" s="131" t="s">
        <v>217</v>
      </c>
      <c r="D35" s="131" t="s">
        <v>18</v>
      </c>
      <c r="E35" s="131" t="s">
        <v>22</v>
      </c>
      <c r="F35" s="131" t="s">
        <v>7</v>
      </c>
      <c r="G35" s="131" t="s">
        <v>13</v>
      </c>
      <c r="H35" s="131" t="s">
        <v>16</v>
      </c>
      <c r="I35" s="131" t="s">
        <v>23</v>
      </c>
      <c r="J35" s="131" t="s">
        <v>24</v>
      </c>
      <c r="K35" s="131" t="s">
        <v>25</v>
      </c>
      <c r="L35" s="131" t="s">
        <v>26</v>
      </c>
      <c r="M35" s="131" t="s">
        <v>27</v>
      </c>
      <c r="N35" s="131" t="s">
        <v>28</v>
      </c>
      <c r="O35" s="131" t="s">
        <v>11</v>
      </c>
      <c r="P35" s="177" t="s">
        <v>236</v>
      </c>
      <c r="Q35" t="s">
        <v>231</v>
      </c>
      <c r="S35" s="22"/>
      <c r="T35" s="22"/>
      <c r="U35" s="22"/>
      <c r="V35" s="22"/>
      <c r="W35" s="22"/>
      <c r="X35" s="22"/>
    </row>
    <row r="36" spans="1:24">
      <c r="A36" t="s">
        <v>292</v>
      </c>
      <c r="B36">
        <v>1</v>
      </c>
      <c r="D36" t="s">
        <v>37</v>
      </c>
      <c r="E36" t="s">
        <v>2</v>
      </c>
      <c r="F36" t="s">
        <v>29</v>
      </c>
      <c r="G36" t="s">
        <v>82</v>
      </c>
      <c r="H36" t="s">
        <v>30</v>
      </c>
      <c r="I36">
        <v>1</v>
      </c>
      <c r="J36">
        <v>1</v>
      </c>
      <c r="K36" t="s">
        <v>31</v>
      </c>
      <c r="L36" t="s">
        <v>31</v>
      </c>
      <c r="M36" t="s">
        <v>31</v>
      </c>
      <c r="N36" t="s">
        <v>31</v>
      </c>
      <c r="Q36" t="s">
        <v>231</v>
      </c>
      <c r="S36" s="22"/>
      <c r="T36" s="22"/>
      <c r="U36" s="22"/>
      <c r="V36" s="22"/>
      <c r="W36" s="22"/>
      <c r="X36" s="22"/>
    </row>
    <row r="37" spans="1:24" s="270" customFormat="1">
      <c r="A37" s="269" t="s">
        <v>146</v>
      </c>
      <c r="B37" s="270">
        <v>-1</v>
      </c>
      <c r="C37" s="271"/>
      <c r="D37" s="270" t="s">
        <v>37</v>
      </c>
      <c r="E37" s="272" t="s">
        <v>40</v>
      </c>
      <c r="F37" s="272" t="s">
        <v>29</v>
      </c>
      <c r="G37" s="270" t="s">
        <v>82</v>
      </c>
      <c r="H37" s="272" t="s">
        <v>33</v>
      </c>
      <c r="I37" s="270">
        <v>1</v>
      </c>
      <c r="J37" s="270">
        <v>1</v>
      </c>
      <c r="K37" s="270" t="s">
        <v>31</v>
      </c>
      <c r="L37" s="270" t="s">
        <v>31</v>
      </c>
      <c r="M37" s="270" t="s">
        <v>31</v>
      </c>
      <c r="N37" s="270" t="s">
        <v>31</v>
      </c>
      <c r="Q37" s="273" t="s">
        <v>231</v>
      </c>
      <c r="S37" s="273"/>
      <c r="T37" s="273"/>
      <c r="U37" s="273"/>
      <c r="V37" s="273"/>
      <c r="W37" s="273"/>
      <c r="X37" s="273"/>
    </row>
    <row r="38" spans="1:24" s="268" customFormat="1">
      <c r="A38" s="274"/>
      <c r="C38" s="149"/>
      <c r="D38" s="149"/>
      <c r="E38" s="149"/>
      <c r="F38" s="149"/>
      <c r="G38" s="149"/>
      <c r="H38" s="149"/>
      <c r="Q38" s="274"/>
      <c r="R38" s="275"/>
      <c r="S38" s="149"/>
      <c r="T38" s="149"/>
    </row>
    <row r="39" spans="1:24" s="268" customFormat="1">
      <c r="A39" s="274"/>
      <c r="C39" s="149"/>
      <c r="D39" s="149"/>
      <c r="E39" s="149"/>
      <c r="F39" s="149"/>
      <c r="G39" s="149"/>
      <c r="Q39" s="274"/>
      <c r="R39" s="275"/>
      <c r="S39" s="149"/>
      <c r="T39" s="149"/>
    </row>
    <row r="40" spans="1:24" s="268" customFormat="1">
      <c r="A40" s="274"/>
      <c r="C40" s="149"/>
      <c r="D40" s="149"/>
      <c r="E40" s="149"/>
      <c r="F40" s="149"/>
      <c r="G40" s="149"/>
      <c r="Q40" s="274"/>
      <c r="R40" s="275"/>
      <c r="S40" s="149"/>
      <c r="T40" s="149"/>
    </row>
    <row r="41" spans="1:24" s="268" customFormat="1">
      <c r="A41" s="274"/>
      <c r="B41" s="275"/>
      <c r="C41" s="149"/>
      <c r="D41" s="149"/>
      <c r="E41" s="149"/>
      <c r="F41" s="149"/>
      <c r="G41" s="149"/>
      <c r="H41" s="149"/>
      <c r="Q41" s="276"/>
      <c r="R41" s="275"/>
      <c r="S41" s="149"/>
      <c r="T41" s="149"/>
    </row>
    <row r="42" spans="1:24" s="268" customFormat="1"/>
    <row r="43" spans="1:24" s="268" customFormat="1">
      <c r="A43" s="277"/>
      <c r="C43" s="149"/>
      <c r="D43" s="149"/>
      <c r="E43" s="149"/>
      <c r="F43" s="278"/>
      <c r="G43" s="149"/>
    </row>
    <row r="44" spans="1:24" s="268" customFormat="1">
      <c r="B44" s="275"/>
      <c r="H44" s="149"/>
    </row>
    <row r="45" spans="1:24" s="268" customFormat="1">
      <c r="B45" s="275"/>
    </row>
    <row r="46" spans="1:24" s="268" customFormat="1">
      <c r="B46" s="275"/>
    </row>
    <row r="47" spans="1:24" s="268" customFormat="1">
      <c r="B47" s="275"/>
      <c r="H47" s="149"/>
    </row>
    <row r="48" spans="1:24" s="268"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90345-69AF-479F-90DE-AB4BA83227FD}">
  <dimension ref="A1:O276"/>
  <sheetViews>
    <sheetView topLeftCell="A115" zoomScale="70" zoomScaleNormal="70" workbookViewId="0">
      <selection activeCell="A12" sqref="A12"/>
    </sheetView>
  </sheetViews>
  <sheetFormatPr defaultColWidth="8.7109375" defaultRowHeight="14.45"/>
  <cols>
    <col min="1" max="1" width="86.7109375" style="50" customWidth="1"/>
    <col min="2" max="3" width="19.85546875" style="279" customWidth="1"/>
    <col min="4" max="4" width="10.140625" style="50" customWidth="1"/>
    <col min="5" max="5" width="31" style="50" bestFit="1" customWidth="1"/>
    <col min="6" max="6" width="25.5703125" style="50" customWidth="1"/>
    <col min="7" max="8" width="8.7109375" style="50"/>
    <col min="9" max="12" width="8.7109375" style="280"/>
    <col min="13" max="14" width="11.85546875" style="280" bestFit="1" customWidth="1"/>
    <col min="15" max="15" width="40.140625" style="50" bestFit="1" customWidth="1"/>
    <col min="16" max="16384" width="8.7109375" style="50"/>
  </cols>
  <sheetData>
    <row r="1" spans="1:15">
      <c r="A1" s="50" t="s">
        <v>0</v>
      </c>
      <c r="B1" s="279">
        <v>14</v>
      </c>
      <c r="D1" s="51" t="s">
        <v>212</v>
      </c>
    </row>
    <row r="2" spans="1:15" s="55" customFormat="1" ht="15.6">
      <c r="A2" s="53" t="s">
        <v>5</v>
      </c>
      <c r="B2" s="53" t="s">
        <v>294</v>
      </c>
      <c r="C2" s="53"/>
      <c r="D2" s="54"/>
    </row>
    <row r="3" spans="1:15">
      <c r="A3" s="50" t="s">
        <v>7</v>
      </c>
      <c r="B3" s="50" t="s">
        <v>295</v>
      </c>
      <c r="C3" s="50"/>
      <c r="I3" s="50"/>
      <c r="J3" s="50"/>
      <c r="K3" s="50"/>
      <c r="L3" s="50"/>
      <c r="M3" s="50"/>
      <c r="N3" s="50"/>
    </row>
    <row r="4" spans="1:15">
      <c r="A4" s="50" t="s">
        <v>9</v>
      </c>
      <c r="B4" s="50" t="str">
        <f ca="1">UPPER(CONCATENATE(DEC2HEX(RANDBETWEEN(0,POWER(16,8)),8),DEC2HEX(RANDBETWEEN(0,POWER(16,4)),4),"4",DEC2HEX(RANDBETWEEN(0,POWER(16,3)),3),DEC2HEX(RANDBETWEEN(8,11)),DEC2HEX(RANDBETWEEN(0,POWER(16,3)),3),DEC2HEX(RANDBETWEEN(0,POWER(16,8)),8),DEC2HEX(RANDBETWEEN(0,POWER(16,4)),4)))</f>
        <v>4E2E72ADB2BA47FDAD19B99CD5A85329</v>
      </c>
      <c r="C4" s="50"/>
      <c r="I4" s="50"/>
      <c r="J4" s="50"/>
      <c r="K4" s="50"/>
      <c r="L4" s="50"/>
      <c r="M4" s="50"/>
      <c r="N4" s="50"/>
    </row>
    <row r="5" spans="1:15">
      <c r="A5" s="50" t="s">
        <v>11</v>
      </c>
      <c r="B5" s="50" t="s">
        <v>296</v>
      </c>
      <c r="C5" s="50"/>
      <c r="I5" s="50"/>
      <c r="J5" s="50"/>
      <c r="K5" s="50"/>
      <c r="L5" s="50"/>
      <c r="M5" s="50"/>
      <c r="N5" s="50"/>
    </row>
    <row r="6" spans="1:15">
      <c r="A6" s="50" t="s">
        <v>13</v>
      </c>
      <c r="B6" s="279" t="s">
        <v>59</v>
      </c>
    </row>
    <row r="7" spans="1:15">
      <c r="A7" s="50" t="s">
        <v>15</v>
      </c>
      <c r="B7" s="50">
        <v>1</v>
      </c>
      <c r="C7" s="50"/>
    </row>
    <row r="8" spans="1:15">
      <c r="A8" s="50" t="s">
        <v>16</v>
      </c>
      <c r="B8" s="50" t="s">
        <v>17</v>
      </c>
      <c r="C8" s="50"/>
    </row>
    <row r="9" spans="1:15">
      <c r="A9" s="50" t="s">
        <v>18</v>
      </c>
      <c r="B9" s="50" t="s">
        <v>37</v>
      </c>
      <c r="C9" s="50"/>
    </row>
    <row r="10" spans="1:15" ht="15.6">
      <c r="A10" s="52" t="s">
        <v>19</v>
      </c>
      <c r="B10" s="50"/>
      <c r="C10" s="50"/>
    </row>
    <row r="11" spans="1:15" ht="15.6">
      <c r="A11" s="52" t="s">
        <v>20</v>
      </c>
      <c r="B11" s="281" t="s">
        <v>21</v>
      </c>
      <c r="C11" s="281" t="s">
        <v>217</v>
      </c>
      <c r="D11" s="52" t="s">
        <v>18</v>
      </c>
      <c r="E11" s="52" t="s">
        <v>22</v>
      </c>
      <c r="F11" s="52" t="s">
        <v>7</v>
      </c>
      <c r="G11" s="52" t="s">
        <v>13</v>
      </c>
      <c r="H11" s="52" t="s">
        <v>16</v>
      </c>
      <c r="I11" s="282" t="s">
        <v>23</v>
      </c>
      <c r="J11" s="282" t="s">
        <v>24</v>
      </c>
      <c r="K11" s="282" t="s">
        <v>25</v>
      </c>
      <c r="L11" s="282" t="s">
        <v>26</v>
      </c>
      <c r="M11" s="282" t="s">
        <v>27</v>
      </c>
      <c r="N11" s="282" t="s">
        <v>28</v>
      </c>
      <c r="O11" s="52" t="s">
        <v>11</v>
      </c>
    </row>
    <row r="12" spans="1:15" ht="15.6">
      <c r="A12" s="283" t="str">
        <f>B2</f>
        <v>carbon nanotube</v>
      </c>
      <c r="B12" s="284">
        <v>1</v>
      </c>
      <c r="C12" s="284"/>
      <c r="D12" s="50" t="s">
        <v>37</v>
      </c>
      <c r="E12" s="56" t="s">
        <v>2</v>
      </c>
      <c r="F12" s="50" t="s">
        <v>295</v>
      </c>
      <c r="G12" s="56" t="s">
        <v>59</v>
      </c>
      <c r="H12" s="56" t="s">
        <v>30</v>
      </c>
      <c r="I12" s="285">
        <v>0</v>
      </c>
      <c r="J12" s="285" t="s">
        <v>31</v>
      </c>
      <c r="K12" s="285" t="s">
        <v>31</v>
      </c>
      <c r="L12" s="285" t="s">
        <v>31</v>
      </c>
      <c r="M12" s="285" t="s">
        <v>31</v>
      </c>
      <c r="N12" s="285" t="s">
        <v>31</v>
      </c>
      <c r="O12" s="56" t="s">
        <v>297</v>
      </c>
    </row>
    <row r="13" spans="1:15" ht="15.6">
      <c r="A13" s="56" t="s">
        <v>298</v>
      </c>
      <c r="B13" s="284">
        <v>3.193E-2</v>
      </c>
      <c r="C13" s="284"/>
      <c r="D13" s="50" t="s">
        <v>37</v>
      </c>
      <c r="E13" s="57" t="s">
        <v>40</v>
      </c>
      <c r="F13" s="50" t="s">
        <v>29</v>
      </c>
      <c r="G13" s="56" t="s">
        <v>59</v>
      </c>
      <c r="H13" s="56" t="s">
        <v>33</v>
      </c>
      <c r="I13" s="285">
        <v>2</v>
      </c>
      <c r="J13" s="285">
        <f>LN(B13)</f>
        <v>-3.4442092722554465</v>
      </c>
      <c r="K13" s="285">
        <v>0.03</v>
      </c>
      <c r="L13" s="285" t="s">
        <v>31</v>
      </c>
      <c r="M13" s="285" t="s">
        <v>31</v>
      </c>
      <c r="N13" s="285" t="s">
        <v>31</v>
      </c>
      <c r="O13" s="56"/>
    </row>
    <row r="14" spans="1:15" ht="15.6">
      <c r="A14" s="56" t="s">
        <v>299</v>
      </c>
      <c r="B14" s="284">
        <v>2.1800000000000001E-3</v>
      </c>
      <c r="C14" s="284"/>
      <c r="D14" s="50" t="s">
        <v>37</v>
      </c>
      <c r="E14" s="57" t="s">
        <v>40</v>
      </c>
      <c r="F14" s="50" t="s">
        <v>29</v>
      </c>
      <c r="G14" s="56" t="s">
        <v>59</v>
      </c>
      <c r="H14" s="56" t="s">
        <v>33</v>
      </c>
      <c r="I14" s="285">
        <v>2</v>
      </c>
      <c r="J14" s="285">
        <f t="shared" ref="J14:J31" si="0">LN(B14)</f>
        <v>-6.1284304021811398</v>
      </c>
      <c r="K14" s="285">
        <v>0.03</v>
      </c>
      <c r="L14" s="285" t="s">
        <v>31</v>
      </c>
      <c r="M14" s="285" t="s">
        <v>31</v>
      </c>
      <c r="N14" s="285" t="s">
        <v>31</v>
      </c>
      <c r="O14" s="56"/>
    </row>
    <row r="15" spans="1:15" ht="15.6">
      <c r="A15" s="56" t="s">
        <v>300</v>
      </c>
      <c r="B15" s="284">
        <v>6.5500000000000003E-3</v>
      </c>
      <c r="C15" s="284"/>
      <c r="D15" s="50" t="s">
        <v>37</v>
      </c>
      <c r="E15" s="57" t="s">
        <v>40</v>
      </c>
      <c r="F15" s="50" t="s">
        <v>29</v>
      </c>
      <c r="G15" s="56" t="s">
        <v>82</v>
      </c>
      <c r="H15" s="56" t="s">
        <v>33</v>
      </c>
      <c r="I15" s="285">
        <v>2</v>
      </c>
      <c r="J15" s="285">
        <f t="shared" si="0"/>
        <v>-5.028290229334976</v>
      </c>
      <c r="K15" s="285">
        <v>0.03</v>
      </c>
      <c r="L15" s="285" t="s">
        <v>31</v>
      </c>
      <c r="M15" s="285" t="s">
        <v>31</v>
      </c>
      <c r="N15" s="285" t="s">
        <v>31</v>
      </c>
      <c r="O15" s="56"/>
    </row>
    <row r="16" spans="1:15" ht="15.6">
      <c r="A16" s="56" t="s">
        <v>301</v>
      </c>
      <c r="B16" s="284">
        <v>5.8335999999999997</v>
      </c>
      <c r="C16" s="284"/>
      <c r="D16" s="50" t="s">
        <v>37</v>
      </c>
      <c r="E16" s="57" t="s">
        <v>40</v>
      </c>
      <c r="F16" s="50" t="s">
        <v>29</v>
      </c>
      <c r="G16" s="56" t="s">
        <v>82</v>
      </c>
      <c r="H16" s="56" t="s">
        <v>33</v>
      </c>
      <c r="I16" s="285">
        <v>2</v>
      </c>
      <c r="J16" s="285">
        <f t="shared" si="0"/>
        <v>1.7636343055022068</v>
      </c>
      <c r="K16" s="285">
        <v>0.03</v>
      </c>
      <c r="L16" s="285" t="s">
        <v>31</v>
      </c>
      <c r="M16" s="285" t="s">
        <v>31</v>
      </c>
      <c r="N16" s="285" t="s">
        <v>31</v>
      </c>
      <c r="O16" s="56"/>
    </row>
    <row r="17" spans="1:15" ht="15.6">
      <c r="A17" s="56" t="s">
        <v>302</v>
      </c>
      <c r="B17" s="284">
        <f>0.25*0.0563</f>
        <v>1.4075000000000001E-2</v>
      </c>
      <c r="C17" s="284"/>
      <c r="D17" s="50" t="s">
        <v>37</v>
      </c>
      <c r="E17" s="57" t="s">
        <v>40</v>
      </c>
      <c r="F17" s="50" t="s">
        <v>29</v>
      </c>
      <c r="G17" s="56" t="s">
        <v>59</v>
      </c>
      <c r="H17" s="56" t="s">
        <v>33</v>
      </c>
      <c r="I17" s="285">
        <v>2</v>
      </c>
      <c r="J17" s="285">
        <f t="shared" si="0"/>
        <v>-4.2633551049563829</v>
      </c>
      <c r="K17" s="285">
        <v>0.03</v>
      </c>
      <c r="L17" s="285" t="s">
        <v>31</v>
      </c>
      <c r="M17" s="285" t="s">
        <v>31</v>
      </c>
      <c r="N17" s="285" t="s">
        <v>31</v>
      </c>
      <c r="O17" s="56" t="s">
        <v>303</v>
      </c>
    </row>
    <row r="18" spans="1:15" ht="15.6">
      <c r="A18" s="56" t="s">
        <v>304</v>
      </c>
      <c r="B18" s="284">
        <f>0.25*0.0563</f>
        <v>1.4075000000000001E-2</v>
      </c>
      <c r="C18" s="284"/>
      <c r="D18" s="50" t="s">
        <v>37</v>
      </c>
      <c r="E18" s="57" t="s">
        <v>40</v>
      </c>
      <c r="F18" s="50" t="s">
        <v>29</v>
      </c>
      <c r="G18" s="56" t="s">
        <v>59</v>
      </c>
      <c r="H18" s="56" t="s">
        <v>33</v>
      </c>
      <c r="I18" s="285">
        <v>2</v>
      </c>
      <c r="J18" s="285">
        <f t="shared" si="0"/>
        <v>-4.2633551049563829</v>
      </c>
      <c r="K18" s="285">
        <v>0.03</v>
      </c>
      <c r="L18" s="285" t="s">
        <v>31</v>
      </c>
      <c r="M18" s="285" t="s">
        <v>31</v>
      </c>
      <c r="N18" s="285" t="s">
        <v>31</v>
      </c>
      <c r="O18" s="56" t="s">
        <v>303</v>
      </c>
    </row>
    <row r="19" spans="1:15" ht="15.6">
      <c r="A19" s="56" t="s">
        <v>305</v>
      </c>
      <c r="B19" s="284">
        <f>0.25*0.0563</f>
        <v>1.4075000000000001E-2</v>
      </c>
      <c r="C19" s="284"/>
      <c r="D19" s="50" t="s">
        <v>37</v>
      </c>
      <c r="E19" s="57" t="s">
        <v>40</v>
      </c>
      <c r="F19" s="50" t="s">
        <v>29</v>
      </c>
      <c r="G19" s="56" t="s">
        <v>82</v>
      </c>
      <c r="H19" s="56" t="s">
        <v>33</v>
      </c>
      <c r="I19" s="285">
        <v>2</v>
      </c>
      <c r="J19" s="285">
        <f t="shared" si="0"/>
        <v>-4.2633551049563829</v>
      </c>
      <c r="K19" s="285">
        <v>0.03</v>
      </c>
      <c r="L19" s="285" t="s">
        <v>31</v>
      </c>
      <c r="M19" s="285" t="s">
        <v>31</v>
      </c>
      <c r="N19" s="285" t="s">
        <v>31</v>
      </c>
      <c r="O19" s="56" t="s">
        <v>303</v>
      </c>
    </row>
    <row r="20" spans="1:15" ht="15.6">
      <c r="A20" s="56" t="s">
        <v>306</v>
      </c>
      <c r="B20" s="284">
        <f>0.25*0.0563</f>
        <v>1.4075000000000001E-2</v>
      </c>
      <c r="C20" s="284"/>
      <c r="D20" s="50" t="s">
        <v>37</v>
      </c>
      <c r="E20" s="57" t="s">
        <v>40</v>
      </c>
      <c r="F20" s="50" t="s">
        <v>29</v>
      </c>
      <c r="G20" s="56" t="s">
        <v>82</v>
      </c>
      <c r="H20" s="56" t="s">
        <v>33</v>
      </c>
      <c r="I20" s="285">
        <v>2</v>
      </c>
      <c r="J20" s="285">
        <f t="shared" si="0"/>
        <v>-4.2633551049563829</v>
      </c>
      <c r="K20" s="285">
        <v>0.03</v>
      </c>
      <c r="L20" s="285" t="s">
        <v>31</v>
      </c>
      <c r="M20" s="285" t="s">
        <v>31</v>
      </c>
      <c r="N20" s="285" t="s">
        <v>31</v>
      </c>
      <c r="O20" s="56" t="s">
        <v>303</v>
      </c>
    </row>
    <row r="21" spans="1:15" ht="15.6">
      <c r="A21" s="56" t="s">
        <v>307</v>
      </c>
      <c r="B21" s="284">
        <v>3.1899999999999998E-2</v>
      </c>
      <c r="C21" s="284"/>
      <c r="D21" s="50" t="s">
        <v>37</v>
      </c>
      <c r="E21" s="57" t="s">
        <v>40</v>
      </c>
      <c r="F21" s="50" t="s">
        <v>29</v>
      </c>
      <c r="G21" s="56" t="s">
        <v>59</v>
      </c>
      <c r="H21" s="56" t="s">
        <v>33</v>
      </c>
      <c r="I21" s="285">
        <v>2</v>
      </c>
      <c r="J21" s="285">
        <f t="shared" si="0"/>
        <v>-3.4451492691913383</v>
      </c>
      <c r="K21" s="285">
        <v>0.03</v>
      </c>
      <c r="L21" s="285" t="s">
        <v>31</v>
      </c>
      <c r="M21" s="285" t="s">
        <v>31</v>
      </c>
      <c r="N21" s="285" t="s">
        <v>31</v>
      </c>
      <c r="O21" s="56"/>
    </row>
    <row r="22" spans="1:15" ht="15.6">
      <c r="A22" s="56" t="s">
        <v>308</v>
      </c>
      <c r="B22" s="284">
        <v>1.44E-2</v>
      </c>
      <c r="C22" s="284"/>
      <c r="D22" s="50" t="s">
        <v>37</v>
      </c>
      <c r="E22" s="57" t="s">
        <v>40</v>
      </c>
      <c r="F22" s="50" t="s">
        <v>29</v>
      </c>
      <c r="G22" s="56" t="s">
        <v>59</v>
      </c>
      <c r="H22" s="56" t="s">
        <v>33</v>
      </c>
      <c r="I22" s="285">
        <v>2</v>
      </c>
      <c r="J22" s="285">
        <f t="shared" si="0"/>
        <v>-4.240527072400182</v>
      </c>
      <c r="K22" s="285">
        <v>0.03</v>
      </c>
      <c r="L22" s="285" t="s">
        <v>31</v>
      </c>
      <c r="M22" s="285" t="s">
        <v>31</v>
      </c>
      <c r="N22" s="285" t="s">
        <v>31</v>
      </c>
      <c r="O22" s="56"/>
    </row>
    <row r="23" spans="1:15" ht="15.6">
      <c r="A23" s="56" t="s">
        <v>309</v>
      </c>
      <c r="B23" s="284">
        <v>1.5100000000000001E-2</v>
      </c>
      <c r="C23" s="284"/>
      <c r="D23" s="50" t="s">
        <v>37</v>
      </c>
      <c r="E23" s="57" t="s">
        <v>40</v>
      </c>
      <c r="F23" s="50" t="s">
        <v>29</v>
      </c>
      <c r="G23" s="56" t="s">
        <v>82</v>
      </c>
      <c r="H23" s="56" t="s">
        <v>33</v>
      </c>
      <c r="I23" s="285">
        <v>2</v>
      </c>
      <c r="J23" s="285">
        <f t="shared" si="0"/>
        <v>-4.1930605351612584</v>
      </c>
      <c r="K23" s="285">
        <v>0.03</v>
      </c>
      <c r="L23" s="285" t="s">
        <v>31</v>
      </c>
      <c r="M23" s="285" t="s">
        <v>31</v>
      </c>
      <c r="N23" s="285" t="s">
        <v>31</v>
      </c>
      <c r="O23" s="56"/>
    </row>
    <row r="24" spans="1:15" ht="15.6">
      <c r="A24" s="56" t="s">
        <v>310</v>
      </c>
      <c r="B24" s="284">
        <v>3.066E-2</v>
      </c>
      <c r="C24" s="284"/>
      <c r="D24" s="50" t="s">
        <v>37</v>
      </c>
      <c r="E24" s="57" t="s">
        <v>40</v>
      </c>
      <c r="F24" s="50" t="s">
        <v>29</v>
      </c>
      <c r="G24" s="56" t="s">
        <v>59</v>
      </c>
      <c r="H24" s="56" t="s">
        <v>33</v>
      </c>
      <c r="I24" s="285">
        <v>2</v>
      </c>
      <c r="J24" s="285">
        <f t="shared" si="0"/>
        <v>-3.4847964055384688</v>
      </c>
      <c r="K24" s="285">
        <v>0.03</v>
      </c>
      <c r="L24" s="285" t="s">
        <v>31</v>
      </c>
      <c r="M24" s="285" t="s">
        <v>31</v>
      </c>
      <c r="N24" s="285" t="s">
        <v>31</v>
      </c>
      <c r="O24" s="56"/>
    </row>
    <row r="25" spans="1:15" ht="15.6">
      <c r="A25" s="56" t="s">
        <v>38</v>
      </c>
      <c r="B25" s="279">
        <v>0.65</v>
      </c>
      <c r="D25" s="50" t="s">
        <v>39</v>
      </c>
      <c r="E25" s="57" t="s">
        <v>40</v>
      </c>
      <c r="F25" s="50" t="s">
        <v>29</v>
      </c>
      <c r="G25" s="56" t="s">
        <v>59</v>
      </c>
      <c r="H25" s="56" t="s">
        <v>33</v>
      </c>
      <c r="I25" s="285">
        <v>2</v>
      </c>
      <c r="J25" s="285">
        <f t="shared" si="0"/>
        <v>-0.43078291609245423</v>
      </c>
      <c r="K25" s="285">
        <v>0.03</v>
      </c>
      <c r="L25" s="285" t="s">
        <v>31</v>
      </c>
      <c r="M25" s="285" t="s">
        <v>31</v>
      </c>
      <c r="N25" s="285" t="s">
        <v>31</v>
      </c>
      <c r="O25" s="56"/>
    </row>
    <row r="26" spans="1:15" ht="15.6">
      <c r="A26" s="59" t="s">
        <v>70</v>
      </c>
      <c r="B26" s="279">
        <v>58.09</v>
      </c>
      <c r="D26" s="50" t="s">
        <v>71</v>
      </c>
      <c r="E26" s="57" t="s">
        <v>40</v>
      </c>
      <c r="F26" s="50" t="s">
        <v>29</v>
      </c>
      <c r="G26" s="56" t="s">
        <v>59</v>
      </c>
      <c r="H26" s="50" t="s">
        <v>33</v>
      </c>
      <c r="I26" s="285">
        <v>2</v>
      </c>
      <c r="J26" s="285">
        <f t="shared" si="0"/>
        <v>4.0619935320044416</v>
      </c>
      <c r="K26" s="285">
        <v>0.03</v>
      </c>
      <c r="L26" s="285" t="s">
        <v>31</v>
      </c>
      <c r="M26" s="285" t="s">
        <v>31</v>
      </c>
      <c r="N26" s="285" t="s">
        <v>31</v>
      </c>
      <c r="O26" s="56"/>
    </row>
    <row r="27" spans="1:15" ht="15.6">
      <c r="A27" s="56" t="s">
        <v>75</v>
      </c>
      <c r="B27" s="279">
        <v>1.20146</v>
      </c>
      <c r="D27" s="50" t="s">
        <v>37</v>
      </c>
      <c r="E27" s="57" t="s">
        <v>40</v>
      </c>
      <c r="F27" s="50" t="s">
        <v>29</v>
      </c>
      <c r="G27" s="56" t="s">
        <v>59</v>
      </c>
      <c r="H27" s="50" t="s">
        <v>33</v>
      </c>
      <c r="I27" s="285">
        <v>2</v>
      </c>
      <c r="J27" s="285">
        <f t="shared" si="0"/>
        <v>0.18353748392151997</v>
      </c>
      <c r="K27" s="285">
        <v>0.03</v>
      </c>
      <c r="L27" s="285" t="s">
        <v>31</v>
      </c>
      <c r="M27" s="285" t="s">
        <v>31</v>
      </c>
      <c r="N27" s="285" t="s">
        <v>31</v>
      </c>
      <c r="O27" s="56"/>
    </row>
    <row r="28" spans="1:15" ht="15.6">
      <c r="A28" s="56" t="s">
        <v>76</v>
      </c>
      <c r="B28" s="279">
        <f>-0.43697/1000</f>
        <v>-4.3697000000000001E-4</v>
      </c>
      <c r="D28" s="50" t="s">
        <v>42</v>
      </c>
      <c r="E28" s="57" t="s">
        <v>40</v>
      </c>
      <c r="F28" s="50" t="s">
        <v>29</v>
      </c>
      <c r="G28" s="50" t="s">
        <v>82</v>
      </c>
      <c r="H28" s="50" t="s">
        <v>33</v>
      </c>
      <c r="I28" s="285">
        <v>0</v>
      </c>
      <c r="J28" s="285" t="s">
        <v>31</v>
      </c>
      <c r="K28" s="285" t="s">
        <v>31</v>
      </c>
      <c r="L28" s="285" t="s">
        <v>31</v>
      </c>
      <c r="M28" s="285" t="s">
        <v>31</v>
      </c>
      <c r="N28" s="285" t="s">
        <v>31</v>
      </c>
      <c r="O28" s="56" t="s">
        <v>311</v>
      </c>
    </row>
    <row r="29" spans="1:15" ht="15.6">
      <c r="A29" s="56" t="s">
        <v>312</v>
      </c>
      <c r="B29" s="279">
        <v>-1.435E-2</v>
      </c>
      <c r="D29" s="50" t="s">
        <v>37</v>
      </c>
      <c r="E29" s="57" t="s">
        <v>40</v>
      </c>
      <c r="F29" s="50" t="s">
        <v>29</v>
      </c>
      <c r="G29" s="50" t="s">
        <v>82</v>
      </c>
      <c r="H29" s="50" t="s">
        <v>33</v>
      </c>
      <c r="I29" s="285">
        <v>0</v>
      </c>
      <c r="J29" s="285" t="s">
        <v>31</v>
      </c>
      <c r="K29" s="285" t="s">
        <v>31</v>
      </c>
      <c r="L29" s="285" t="s">
        <v>31</v>
      </c>
      <c r="M29" s="285" t="s">
        <v>31</v>
      </c>
      <c r="N29" s="285" t="s">
        <v>31</v>
      </c>
      <c r="O29" s="56"/>
    </row>
    <row r="30" spans="1:15" ht="15.6">
      <c r="A30" s="56" t="s">
        <v>313</v>
      </c>
      <c r="B30" s="279">
        <v>-0.26802999999999999</v>
      </c>
      <c r="D30" s="50" t="s">
        <v>37</v>
      </c>
      <c r="E30" s="57" t="s">
        <v>40</v>
      </c>
      <c r="F30" s="50" t="s">
        <v>29</v>
      </c>
      <c r="G30" s="50" t="s">
        <v>82</v>
      </c>
      <c r="H30" s="50" t="s">
        <v>33</v>
      </c>
      <c r="I30" s="285">
        <v>0</v>
      </c>
      <c r="J30" s="285" t="s">
        <v>31</v>
      </c>
      <c r="K30" s="285" t="s">
        <v>31</v>
      </c>
      <c r="L30" s="285" t="s">
        <v>31</v>
      </c>
      <c r="M30" s="285" t="s">
        <v>31</v>
      </c>
      <c r="N30" s="285" t="s">
        <v>31</v>
      </c>
      <c r="O30" s="56"/>
    </row>
    <row r="31" spans="1:15" ht="15.6">
      <c r="A31" s="58" t="s">
        <v>77</v>
      </c>
      <c r="B31" s="279">
        <v>5.5049999999999999</v>
      </c>
      <c r="D31" s="50" t="s">
        <v>37</v>
      </c>
      <c r="E31" s="57" t="s">
        <v>43</v>
      </c>
      <c r="F31" s="50" t="s">
        <v>44</v>
      </c>
      <c r="G31" s="50" t="s">
        <v>29</v>
      </c>
      <c r="H31" s="59" t="s">
        <v>45</v>
      </c>
      <c r="I31" s="285">
        <v>2</v>
      </c>
      <c r="J31" s="285">
        <f t="shared" si="0"/>
        <v>1.7056567701746432</v>
      </c>
      <c r="K31" s="285">
        <v>0.03</v>
      </c>
      <c r="L31" s="285" t="s">
        <v>31</v>
      </c>
      <c r="M31" s="285" t="s">
        <v>31</v>
      </c>
      <c r="N31" s="285" t="s">
        <v>31</v>
      </c>
      <c r="O31" s="56" t="s">
        <v>314</v>
      </c>
    </row>
    <row r="32" spans="1:15" s="55" customFormat="1" ht="15.6">
      <c r="A32" s="286" t="s">
        <v>5</v>
      </c>
      <c r="B32" s="53" t="s">
        <v>315</v>
      </c>
      <c r="C32" s="53"/>
      <c r="D32" s="54"/>
    </row>
    <row r="33" spans="1:15">
      <c r="A33" s="50" t="s">
        <v>7</v>
      </c>
      <c r="B33" s="50" t="s">
        <v>295</v>
      </c>
      <c r="C33" s="50"/>
      <c r="I33" s="50"/>
      <c r="J33" s="50"/>
      <c r="K33" s="50"/>
      <c r="L33" s="50"/>
      <c r="M33" s="50"/>
      <c r="N33" s="50"/>
    </row>
    <row r="34" spans="1:15">
      <c r="A34" s="50" t="s">
        <v>9</v>
      </c>
      <c r="B34" s="50" t="str">
        <f ca="1">UPPER(CONCATENATE(DEC2HEX(RANDBETWEEN(0,POWER(16,8)),8),DEC2HEX(RANDBETWEEN(0,POWER(16,4)),4),"4",DEC2HEX(RANDBETWEEN(0,POWER(16,3)),3),DEC2HEX(RANDBETWEEN(8,11)),DEC2HEX(RANDBETWEEN(0,POWER(16,3)),3),DEC2HEX(RANDBETWEEN(0,POWER(16,8)),8),DEC2HEX(RANDBETWEEN(0,POWER(16,4)),4)))</f>
        <v>92D844ECF64A43E5BFF833E22031E4CA</v>
      </c>
      <c r="C34" s="50"/>
      <c r="I34" s="50"/>
      <c r="J34" s="50"/>
      <c r="K34" s="50"/>
      <c r="L34" s="50"/>
      <c r="M34" s="50"/>
      <c r="N34" s="50"/>
    </row>
    <row r="35" spans="1:15">
      <c r="A35" s="50" t="s">
        <v>11</v>
      </c>
      <c r="B35" s="50" t="s">
        <v>296</v>
      </c>
      <c r="C35" s="50"/>
      <c r="I35" s="50"/>
      <c r="J35" s="50"/>
      <c r="K35" s="50"/>
      <c r="L35" s="50"/>
      <c r="M35" s="50"/>
      <c r="N35" s="50"/>
    </row>
    <row r="36" spans="1:15">
      <c r="A36" s="50" t="s">
        <v>13</v>
      </c>
      <c r="B36" s="279" t="s">
        <v>59</v>
      </c>
    </row>
    <row r="37" spans="1:15">
      <c r="A37" s="50" t="s">
        <v>15</v>
      </c>
      <c r="B37" s="50">
        <v>1</v>
      </c>
      <c r="C37" s="50"/>
    </row>
    <row r="38" spans="1:15">
      <c r="A38" s="50" t="s">
        <v>16</v>
      </c>
      <c r="B38" s="50" t="s">
        <v>17</v>
      </c>
      <c r="C38" s="50"/>
    </row>
    <row r="39" spans="1:15">
      <c r="A39" s="50" t="s">
        <v>18</v>
      </c>
      <c r="B39" s="50" t="s">
        <v>18</v>
      </c>
      <c r="C39" s="50"/>
    </row>
    <row r="40" spans="1:15" ht="15.6">
      <c r="A40" s="52" t="s">
        <v>19</v>
      </c>
      <c r="B40" s="50"/>
      <c r="C40" s="50"/>
    </row>
    <row r="41" spans="1:15" ht="15.6">
      <c r="A41" s="52" t="s">
        <v>20</v>
      </c>
      <c r="B41" s="281" t="s">
        <v>21</v>
      </c>
      <c r="C41" s="281" t="s">
        <v>217</v>
      </c>
      <c r="D41" s="52" t="s">
        <v>18</v>
      </c>
      <c r="E41" s="52" t="s">
        <v>22</v>
      </c>
      <c r="F41" s="52" t="s">
        <v>7</v>
      </c>
      <c r="G41" s="52" t="s">
        <v>13</v>
      </c>
      <c r="H41" s="52" t="s">
        <v>16</v>
      </c>
      <c r="I41" s="282" t="s">
        <v>23</v>
      </c>
      <c r="J41" s="282" t="s">
        <v>24</v>
      </c>
      <c r="K41" s="282" t="s">
        <v>25</v>
      </c>
      <c r="L41" s="282" t="s">
        <v>26</v>
      </c>
      <c r="M41" s="282" t="s">
        <v>27</v>
      </c>
      <c r="N41" s="282" t="s">
        <v>28</v>
      </c>
      <c r="O41" s="52" t="s">
        <v>11</v>
      </c>
    </row>
    <row r="42" spans="1:15" ht="15.6">
      <c r="A42" s="56" t="s">
        <v>315</v>
      </c>
      <c r="B42" s="284">
        <v>1</v>
      </c>
      <c r="C42" s="284"/>
      <c r="D42" s="56" t="s">
        <v>18</v>
      </c>
      <c r="E42" s="56" t="s">
        <v>2</v>
      </c>
      <c r="F42" s="50" t="s">
        <v>295</v>
      </c>
      <c r="G42" s="56" t="s">
        <v>59</v>
      </c>
      <c r="H42" s="56" t="s">
        <v>30</v>
      </c>
      <c r="I42" s="285">
        <v>0</v>
      </c>
      <c r="J42" s="285" t="s">
        <v>31</v>
      </c>
      <c r="K42" s="285" t="s">
        <v>31</v>
      </c>
      <c r="L42" s="285" t="s">
        <v>31</v>
      </c>
      <c r="M42" s="285" t="s">
        <v>31</v>
      </c>
      <c r="N42" s="285" t="s">
        <v>31</v>
      </c>
      <c r="O42" s="56" t="s">
        <v>316</v>
      </c>
    </row>
    <row r="43" spans="1:15" ht="15.6">
      <c r="A43" s="17" t="str">
        <f>A12</f>
        <v>carbon nanotube</v>
      </c>
      <c r="B43" s="284">
        <f>6*675*0.0477</f>
        <v>193.185</v>
      </c>
      <c r="C43" s="284"/>
      <c r="D43" s="56" t="s">
        <v>37</v>
      </c>
      <c r="E43" s="56" t="s">
        <v>2</v>
      </c>
      <c r="F43" s="50" t="s">
        <v>295</v>
      </c>
      <c r="G43" s="56" t="s">
        <v>59</v>
      </c>
      <c r="H43" s="56" t="s">
        <v>33</v>
      </c>
      <c r="I43" s="285">
        <v>2</v>
      </c>
      <c r="J43" s="285">
        <f>LN(B43)</f>
        <v>5.2636482790127435</v>
      </c>
      <c r="K43" s="285">
        <v>0.03</v>
      </c>
      <c r="L43" s="285" t="s">
        <v>31</v>
      </c>
      <c r="M43" s="285" t="s">
        <v>31</v>
      </c>
      <c r="N43" s="285" t="s">
        <v>31</v>
      </c>
      <c r="O43" s="56"/>
    </row>
    <row r="44" spans="1:15" s="55" customFormat="1" ht="15.6">
      <c r="A44" s="286" t="s">
        <v>5</v>
      </c>
      <c r="B44" s="287" t="s">
        <v>317</v>
      </c>
      <c r="C44" s="287"/>
      <c r="D44" s="54"/>
      <c r="I44" s="288"/>
      <c r="J44" s="288"/>
      <c r="K44" s="288"/>
      <c r="L44" s="288"/>
      <c r="M44" s="288"/>
      <c r="N44" s="288"/>
    </row>
    <row r="45" spans="1:15">
      <c r="A45" s="50" t="s">
        <v>7</v>
      </c>
      <c r="B45" s="279" t="s">
        <v>295</v>
      </c>
    </row>
    <row r="46" spans="1:15">
      <c r="A46" s="50" t="s">
        <v>9</v>
      </c>
      <c r="B46" s="50" t="str">
        <f ca="1">UPPER(CONCATENATE(DEC2HEX(RANDBETWEEN(0,POWER(16,8)),8),DEC2HEX(RANDBETWEEN(0,POWER(16,4)),4),"4",DEC2HEX(RANDBETWEEN(0,POWER(16,3)),3),DEC2HEX(RANDBETWEEN(8,11)),DEC2HEX(RANDBETWEEN(0,POWER(16,3)),3),DEC2HEX(RANDBETWEEN(0,POWER(16,8)),8),DEC2HEX(RANDBETWEEN(0,POWER(16,4)),4)))</f>
        <v>1B159CC4A1844D02A944CE1BC02F9882</v>
      </c>
    </row>
    <row r="47" spans="1:15">
      <c r="A47" s="50" t="s">
        <v>11</v>
      </c>
      <c r="B47" s="279" t="s">
        <v>296</v>
      </c>
    </row>
    <row r="48" spans="1:15">
      <c r="A48" s="50" t="s">
        <v>13</v>
      </c>
      <c r="B48" s="279" t="s">
        <v>82</v>
      </c>
    </row>
    <row r="49" spans="1:15">
      <c r="A49" s="50" t="s">
        <v>15</v>
      </c>
      <c r="B49" s="279">
        <v>1</v>
      </c>
    </row>
    <row r="50" spans="1:15">
      <c r="A50" s="50" t="s">
        <v>16</v>
      </c>
      <c r="B50" s="279" t="s">
        <v>17</v>
      </c>
    </row>
    <row r="51" spans="1:15">
      <c r="A51" s="50" t="s">
        <v>18</v>
      </c>
      <c r="B51" s="279" t="s">
        <v>37</v>
      </c>
    </row>
    <row r="52" spans="1:15" ht="15.6">
      <c r="A52" s="52" t="s">
        <v>19</v>
      </c>
    </row>
    <row r="53" spans="1:15" ht="15.6">
      <c r="A53" s="52" t="s">
        <v>20</v>
      </c>
      <c r="B53" s="281" t="s">
        <v>21</v>
      </c>
      <c r="C53" s="281" t="s">
        <v>217</v>
      </c>
      <c r="D53" s="52" t="s">
        <v>18</v>
      </c>
      <c r="E53" s="52" t="s">
        <v>22</v>
      </c>
      <c r="F53" s="52" t="s">
        <v>7</v>
      </c>
      <c r="G53" s="52" t="s">
        <v>13</v>
      </c>
      <c r="H53" s="52" t="s">
        <v>16</v>
      </c>
      <c r="I53" s="282" t="s">
        <v>23</v>
      </c>
      <c r="J53" s="282" t="s">
        <v>24</v>
      </c>
      <c r="K53" s="282" t="s">
        <v>25</v>
      </c>
      <c r="L53" s="282" t="s">
        <v>26</v>
      </c>
      <c r="M53" s="282" t="s">
        <v>27</v>
      </c>
      <c r="N53" s="282" t="s">
        <v>28</v>
      </c>
      <c r="O53" s="52" t="s">
        <v>11</v>
      </c>
    </row>
    <row r="54" spans="1:15" ht="15.6">
      <c r="A54" s="284" t="str">
        <f>B44</f>
        <v>tetraethyl orthosilicate</v>
      </c>
      <c r="B54" s="284">
        <v>1</v>
      </c>
      <c r="C54" s="284"/>
      <c r="D54" s="56" t="s">
        <v>37</v>
      </c>
      <c r="E54" s="56" t="s">
        <v>2</v>
      </c>
      <c r="F54" s="50" t="s">
        <v>295</v>
      </c>
      <c r="G54" s="56" t="s">
        <v>82</v>
      </c>
      <c r="H54" s="56" t="s">
        <v>30</v>
      </c>
      <c r="I54" s="285">
        <v>0</v>
      </c>
      <c r="J54" s="285" t="s">
        <v>31</v>
      </c>
      <c r="K54" s="285" t="s">
        <v>31</v>
      </c>
      <c r="L54" s="285" t="s">
        <v>31</v>
      </c>
      <c r="M54" s="285" t="s">
        <v>31</v>
      </c>
      <c r="N54" s="285" t="s">
        <v>31</v>
      </c>
      <c r="O54" s="56" t="s">
        <v>318</v>
      </c>
    </row>
    <row r="55" spans="1:15" ht="15.6">
      <c r="A55" s="289" t="s">
        <v>319</v>
      </c>
      <c r="B55" s="279">
        <f>0.8161</f>
        <v>0.81610000000000005</v>
      </c>
      <c r="D55" s="50" t="s">
        <v>37</v>
      </c>
      <c r="E55" s="57" t="s">
        <v>40</v>
      </c>
      <c r="F55" s="50" t="s">
        <v>29</v>
      </c>
      <c r="G55" s="50" t="s">
        <v>82</v>
      </c>
      <c r="H55" s="50" t="s">
        <v>33</v>
      </c>
      <c r="I55" s="280">
        <v>2</v>
      </c>
      <c r="J55" s="280">
        <f t="shared" ref="J55:J61" si="1">LN(B55)</f>
        <v>-0.2032183825069398</v>
      </c>
      <c r="K55" s="285">
        <v>0.45825756899999998</v>
      </c>
      <c r="L55" s="285" t="s">
        <v>31</v>
      </c>
      <c r="M55" s="285" t="s">
        <v>31</v>
      </c>
      <c r="N55" s="285" t="s">
        <v>31</v>
      </c>
    </row>
    <row r="56" spans="1:15" ht="15.6">
      <c r="A56" s="289" t="s">
        <v>320</v>
      </c>
      <c r="B56" s="279">
        <f>0.9738</f>
        <v>0.9738</v>
      </c>
      <c r="D56" s="50" t="s">
        <v>37</v>
      </c>
      <c r="E56" s="57" t="s">
        <v>40</v>
      </c>
      <c r="F56" s="50" t="s">
        <v>29</v>
      </c>
      <c r="G56" s="50" t="s">
        <v>82</v>
      </c>
      <c r="H56" s="50" t="s">
        <v>33</v>
      </c>
      <c r="I56" s="280">
        <v>2</v>
      </c>
      <c r="J56" s="280">
        <f t="shared" si="1"/>
        <v>-2.6549335233536524E-2</v>
      </c>
      <c r="K56" s="285">
        <v>0.45825756899999998</v>
      </c>
      <c r="L56" s="285" t="s">
        <v>31</v>
      </c>
      <c r="M56" s="285" t="s">
        <v>31</v>
      </c>
      <c r="N56" s="285" t="s">
        <v>31</v>
      </c>
    </row>
    <row r="57" spans="1:15" ht="15.6">
      <c r="A57" s="289" t="s">
        <v>310</v>
      </c>
      <c r="B57" s="279">
        <f>0.7681</f>
        <v>0.7681</v>
      </c>
      <c r="D57" s="50" t="s">
        <v>37</v>
      </c>
      <c r="E57" s="57" t="s">
        <v>40</v>
      </c>
      <c r="F57" s="50" t="s">
        <v>29</v>
      </c>
      <c r="G57" s="50" t="s">
        <v>59</v>
      </c>
      <c r="H57" s="50" t="s">
        <v>33</v>
      </c>
      <c r="I57" s="280">
        <v>2</v>
      </c>
      <c r="J57" s="280">
        <f t="shared" si="1"/>
        <v>-0.2638353459775008</v>
      </c>
      <c r="K57" s="285">
        <v>0.45825756899999998</v>
      </c>
      <c r="L57" s="285" t="s">
        <v>31</v>
      </c>
      <c r="M57" s="285" t="s">
        <v>31</v>
      </c>
      <c r="N57" s="285" t="s">
        <v>31</v>
      </c>
    </row>
    <row r="58" spans="1:15" ht="15.6">
      <c r="A58" s="289" t="s">
        <v>38</v>
      </c>
      <c r="B58" s="279">
        <f>0.025</f>
        <v>2.5000000000000001E-2</v>
      </c>
      <c r="D58" s="50" t="s">
        <v>39</v>
      </c>
      <c r="E58" s="57" t="s">
        <v>40</v>
      </c>
      <c r="F58" s="50" t="s">
        <v>29</v>
      </c>
      <c r="G58" s="50" t="s">
        <v>59</v>
      </c>
      <c r="H58" s="50" t="s">
        <v>33</v>
      </c>
      <c r="I58" s="280">
        <v>2</v>
      </c>
      <c r="J58" s="280">
        <f t="shared" si="1"/>
        <v>-3.6888794541139363</v>
      </c>
      <c r="K58" s="285">
        <v>0.45825756899999998</v>
      </c>
      <c r="L58" s="285" t="s">
        <v>31</v>
      </c>
      <c r="M58" s="285" t="s">
        <v>31</v>
      </c>
      <c r="N58" s="285" t="s">
        <v>31</v>
      </c>
    </row>
    <row r="59" spans="1:15" ht="15.6">
      <c r="A59" s="59" t="s">
        <v>70</v>
      </c>
      <c r="B59" s="279">
        <f>2.42</f>
        <v>2.42</v>
      </c>
      <c r="D59" s="50" t="s">
        <v>71</v>
      </c>
      <c r="E59" s="57" t="s">
        <v>40</v>
      </c>
      <c r="F59" s="50" t="s">
        <v>29</v>
      </c>
      <c r="G59" s="50" t="s">
        <v>59</v>
      </c>
      <c r="H59" s="50" t="s">
        <v>33</v>
      </c>
      <c r="I59" s="280">
        <v>2</v>
      </c>
      <c r="J59" s="280">
        <f t="shared" si="1"/>
        <v>0.88376754016859504</v>
      </c>
      <c r="K59" s="285">
        <v>0.45825756899999998</v>
      </c>
      <c r="L59" s="285" t="s">
        <v>31</v>
      </c>
      <c r="M59" s="285" t="s">
        <v>31</v>
      </c>
      <c r="N59" s="285" t="s">
        <v>31</v>
      </c>
    </row>
    <row r="60" spans="1:15" ht="15.6">
      <c r="A60" s="289" t="s">
        <v>321</v>
      </c>
      <c r="B60" s="279">
        <f>0.0007</f>
        <v>6.9999999999999999E-4</v>
      </c>
      <c r="D60" s="50" t="s">
        <v>37</v>
      </c>
      <c r="E60" s="57" t="s">
        <v>43</v>
      </c>
      <c r="F60" s="50" t="s">
        <v>44</v>
      </c>
      <c r="G60" s="50" t="s">
        <v>29</v>
      </c>
      <c r="H60" s="59" t="s">
        <v>45</v>
      </c>
      <c r="I60" s="280">
        <v>2</v>
      </c>
      <c r="J60" s="280">
        <f t="shared" si="1"/>
        <v>-7.2644302229208693</v>
      </c>
      <c r="K60" s="285">
        <v>0.45825756899999998</v>
      </c>
      <c r="L60" s="285" t="s">
        <v>31</v>
      </c>
      <c r="M60" s="285" t="s">
        <v>31</v>
      </c>
      <c r="N60" s="285" t="s">
        <v>31</v>
      </c>
    </row>
    <row r="61" spans="1:15" ht="15.6">
      <c r="A61" s="289" t="s">
        <v>322</v>
      </c>
      <c r="B61" s="279">
        <f>0.000195</f>
        <v>1.95E-4</v>
      </c>
      <c r="D61" s="50" t="s">
        <v>37</v>
      </c>
      <c r="E61" s="57" t="s">
        <v>43</v>
      </c>
      <c r="F61" s="50" t="s">
        <v>44</v>
      </c>
      <c r="G61" s="50" t="s">
        <v>29</v>
      </c>
      <c r="H61" s="59" t="s">
        <v>45</v>
      </c>
      <c r="I61" s="280">
        <v>2</v>
      </c>
      <c r="J61" s="280">
        <f t="shared" si="1"/>
        <v>-8.5425109994005268</v>
      </c>
      <c r="K61" s="285">
        <v>0.45825756899999998</v>
      </c>
      <c r="L61" s="285" t="s">
        <v>31</v>
      </c>
      <c r="M61" s="285" t="s">
        <v>31</v>
      </c>
      <c r="N61" s="285" t="s">
        <v>31</v>
      </c>
    </row>
    <row r="62" spans="1:15" s="55" customFormat="1" ht="15.6">
      <c r="A62" s="286" t="s">
        <v>5</v>
      </c>
      <c r="B62" s="287" t="s">
        <v>323</v>
      </c>
      <c r="C62" s="287"/>
      <c r="D62" s="54"/>
      <c r="I62" s="288"/>
      <c r="J62" s="288"/>
      <c r="K62" s="288"/>
      <c r="L62" s="288"/>
      <c r="M62" s="288"/>
      <c r="N62" s="288"/>
    </row>
    <row r="63" spans="1:15">
      <c r="A63" s="50" t="s">
        <v>7</v>
      </c>
      <c r="B63" s="279" t="s">
        <v>295</v>
      </c>
    </row>
    <row r="64" spans="1:15">
      <c r="A64" s="50" t="s">
        <v>9</v>
      </c>
      <c r="B64" s="50" t="str">
        <f ca="1">UPPER(CONCATENATE(DEC2HEX(RANDBETWEEN(0,POWER(16,8)),8),DEC2HEX(RANDBETWEEN(0,POWER(16,4)),4),"4",DEC2HEX(RANDBETWEEN(0,POWER(16,3)),3),DEC2HEX(RANDBETWEEN(8,11)),DEC2HEX(RANDBETWEEN(0,POWER(16,3)),3),DEC2HEX(RANDBETWEEN(0,POWER(16,8)),8),DEC2HEX(RANDBETWEEN(0,POWER(16,4)),4)))</f>
        <v>D818F19F2A0B434B9553C718E4AB43D0</v>
      </c>
    </row>
    <row r="65" spans="1:15">
      <c r="A65" s="50" t="s">
        <v>11</v>
      </c>
      <c r="B65" s="279" t="s">
        <v>296</v>
      </c>
    </row>
    <row r="66" spans="1:15">
      <c r="A66" s="50" t="s">
        <v>13</v>
      </c>
      <c r="B66" s="279" t="s">
        <v>82</v>
      </c>
    </row>
    <row r="67" spans="1:15">
      <c r="A67" s="50" t="s">
        <v>15</v>
      </c>
      <c r="B67" s="279">
        <v>1</v>
      </c>
    </row>
    <row r="68" spans="1:15">
      <c r="A68" s="50" t="s">
        <v>16</v>
      </c>
      <c r="B68" s="279" t="s">
        <v>17</v>
      </c>
    </row>
    <row r="69" spans="1:15">
      <c r="A69" s="50" t="s">
        <v>18</v>
      </c>
      <c r="B69" s="279" t="s">
        <v>37</v>
      </c>
    </row>
    <row r="70" spans="1:15" ht="15.6">
      <c r="A70" s="52" t="s">
        <v>19</v>
      </c>
    </row>
    <row r="71" spans="1:15" ht="15.6">
      <c r="A71" s="52" t="s">
        <v>20</v>
      </c>
      <c r="B71" s="281" t="s">
        <v>21</v>
      </c>
      <c r="C71" s="281" t="s">
        <v>217</v>
      </c>
      <c r="D71" s="52" t="s">
        <v>18</v>
      </c>
      <c r="E71" s="52" t="s">
        <v>22</v>
      </c>
      <c r="F71" s="52" t="s">
        <v>7</v>
      </c>
      <c r="G71" s="52" t="s">
        <v>13</v>
      </c>
      <c r="H71" s="52" t="s">
        <v>16</v>
      </c>
      <c r="I71" s="282" t="s">
        <v>23</v>
      </c>
      <c r="J71" s="282" t="s">
        <v>24</v>
      </c>
      <c r="K71" s="282" t="s">
        <v>25</v>
      </c>
      <c r="L71" s="282" t="s">
        <v>26</v>
      </c>
      <c r="M71" s="282" t="s">
        <v>27</v>
      </c>
      <c r="N71" s="282" t="s">
        <v>28</v>
      </c>
      <c r="O71" s="52" t="s">
        <v>11</v>
      </c>
    </row>
    <row r="72" spans="1:15" ht="15.6">
      <c r="A72" s="284" t="str">
        <f>B62</f>
        <v>tetraethyl orthosilicate allocated</v>
      </c>
      <c r="B72" s="284">
        <v>1</v>
      </c>
      <c r="C72" s="284"/>
      <c r="D72" s="56" t="s">
        <v>37</v>
      </c>
      <c r="E72" s="56" t="s">
        <v>2</v>
      </c>
      <c r="F72" s="50" t="s">
        <v>295</v>
      </c>
      <c r="G72" s="56" t="s">
        <v>82</v>
      </c>
      <c r="H72" s="56" t="s">
        <v>30</v>
      </c>
      <c r="I72" s="285">
        <v>0</v>
      </c>
      <c r="J72" s="285" t="s">
        <v>31</v>
      </c>
      <c r="K72" s="285" t="s">
        <v>31</v>
      </c>
      <c r="L72" s="285" t="s">
        <v>31</v>
      </c>
      <c r="M72" s="285" t="s">
        <v>31</v>
      </c>
      <c r="N72" s="285" t="s">
        <v>31</v>
      </c>
      <c r="O72" s="56" t="s">
        <v>324</v>
      </c>
    </row>
    <row r="73" spans="1:15" ht="15.6">
      <c r="A73" s="284" t="str">
        <f>A54</f>
        <v>tetraethyl orthosilicate</v>
      </c>
      <c r="B73" s="284">
        <f>1/(1+0.7)</f>
        <v>0.58823529411764708</v>
      </c>
      <c r="C73" s="284"/>
      <c r="D73" s="284" t="str">
        <f t="shared" ref="D73:N73" si="2">D54</f>
        <v>kilogram</v>
      </c>
      <c r="E73" s="284" t="str">
        <f t="shared" si="2"/>
        <v>GENESIS_2050_PEMFC-bat_Base</v>
      </c>
      <c r="F73" s="284" t="str">
        <f t="shared" si="2"/>
        <v>battery including EoL</v>
      </c>
      <c r="G73" s="284" t="str">
        <f t="shared" si="2"/>
        <v>RoW</v>
      </c>
      <c r="H73" s="50" t="s">
        <v>33</v>
      </c>
      <c r="I73" s="284">
        <f t="shared" si="2"/>
        <v>0</v>
      </c>
      <c r="J73" s="284" t="str">
        <f t="shared" si="2"/>
        <v>(Unknown)</v>
      </c>
      <c r="K73" s="284" t="str">
        <f t="shared" si="2"/>
        <v>(Unknown)</v>
      </c>
      <c r="L73" s="284" t="str">
        <f t="shared" si="2"/>
        <v>(Unknown)</v>
      </c>
      <c r="M73" s="284" t="str">
        <f t="shared" si="2"/>
        <v>(Unknown)</v>
      </c>
      <c r="N73" s="284" t="str">
        <f t="shared" si="2"/>
        <v>(Unknown)</v>
      </c>
      <c r="O73" s="284"/>
    </row>
    <row r="74" spans="1:15" s="55" customFormat="1" ht="15.6">
      <c r="A74" s="286" t="s">
        <v>5</v>
      </c>
      <c r="B74" s="287" t="s">
        <v>325</v>
      </c>
      <c r="C74" s="287"/>
      <c r="D74" s="54"/>
      <c r="I74" s="288"/>
      <c r="J74" s="288"/>
      <c r="K74" s="288"/>
      <c r="L74" s="288"/>
      <c r="M74" s="288"/>
      <c r="N74" s="288"/>
    </row>
    <row r="75" spans="1:15">
      <c r="A75" s="50" t="s">
        <v>7</v>
      </c>
      <c r="B75" s="279" t="s">
        <v>295</v>
      </c>
    </row>
    <row r="76" spans="1:15">
      <c r="A76" s="50" t="s">
        <v>9</v>
      </c>
      <c r="B76" s="50" t="str">
        <f ca="1">UPPER(CONCATENATE(DEC2HEX(RANDBETWEEN(0,POWER(16,8)),8),DEC2HEX(RANDBETWEEN(0,POWER(16,4)),4),"4",DEC2HEX(RANDBETWEEN(0,POWER(16,3)),3),DEC2HEX(RANDBETWEEN(8,11)),DEC2HEX(RANDBETWEEN(0,POWER(16,3)),3),DEC2HEX(RANDBETWEEN(0,POWER(16,8)),8),DEC2HEX(RANDBETWEEN(0,POWER(16,4)),4)))</f>
        <v>9572E8692F1847D393AAFDD7E6C16C3F</v>
      </c>
    </row>
    <row r="77" spans="1:15">
      <c r="A77" s="50" t="s">
        <v>11</v>
      </c>
      <c r="B77" s="279" t="s">
        <v>296</v>
      </c>
    </row>
    <row r="78" spans="1:15">
      <c r="A78" s="50" t="s">
        <v>13</v>
      </c>
      <c r="B78" s="279" t="s">
        <v>59</v>
      </c>
    </row>
    <row r="79" spans="1:15">
      <c r="A79" s="50" t="s">
        <v>15</v>
      </c>
      <c r="B79" s="279">
        <v>1</v>
      </c>
    </row>
    <row r="80" spans="1:15">
      <c r="A80" s="50" t="s">
        <v>16</v>
      </c>
      <c r="B80" s="279" t="s">
        <v>17</v>
      </c>
    </row>
    <row r="81" spans="1:15">
      <c r="A81" s="50" t="s">
        <v>18</v>
      </c>
      <c r="B81" s="279" t="s">
        <v>18</v>
      </c>
    </row>
    <row r="82" spans="1:15" ht="15.6">
      <c r="A82" s="52" t="s">
        <v>19</v>
      </c>
    </row>
    <row r="83" spans="1:15" ht="15.6">
      <c r="A83" s="52" t="s">
        <v>20</v>
      </c>
      <c r="B83" s="281" t="s">
        <v>21</v>
      </c>
      <c r="C83" s="281" t="s">
        <v>217</v>
      </c>
      <c r="D83" s="52" t="s">
        <v>18</v>
      </c>
      <c r="E83" s="52" t="s">
        <v>22</v>
      </c>
      <c r="F83" s="52" t="s">
        <v>7</v>
      </c>
      <c r="G83" s="52" t="s">
        <v>13</v>
      </c>
      <c r="H83" s="52" t="s">
        <v>16</v>
      </c>
      <c r="I83" s="282" t="s">
        <v>23</v>
      </c>
      <c r="J83" s="282" t="s">
        <v>24</v>
      </c>
      <c r="K83" s="282" t="s">
        <v>25</v>
      </c>
      <c r="L83" s="282" t="s">
        <v>26</v>
      </c>
      <c r="M83" s="282" t="s">
        <v>27</v>
      </c>
      <c r="N83" s="282" t="s">
        <v>28</v>
      </c>
      <c r="O83" s="52" t="s">
        <v>11</v>
      </c>
    </row>
    <row r="84" spans="1:15" ht="15.6">
      <c r="A84" s="56" t="s">
        <v>325</v>
      </c>
      <c r="B84" s="284">
        <v>1</v>
      </c>
      <c r="C84" s="284"/>
      <c r="D84" s="56" t="s">
        <v>18</v>
      </c>
      <c r="E84" s="56" t="s">
        <v>2</v>
      </c>
      <c r="F84" s="50" t="s">
        <v>295</v>
      </c>
      <c r="G84" s="56" t="s">
        <v>59</v>
      </c>
      <c r="H84" s="56" t="s">
        <v>30</v>
      </c>
      <c r="I84" s="285">
        <v>0</v>
      </c>
      <c r="J84" s="285" t="s">
        <v>31</v>
      </c>
      <c r="K84" s="285" t="s">
        <v>31</v>
      </c>
      <c r="L84" s="285" t="s">
        <v>31</v>
      </c>
      <c r="M84" s="285" t="s">
        <v>31</v>
      </c>
      <c r="N84" s="285" t="s">
        <v>31</v>
      </c>
      <c r="O84" s="56" t="s">
        <v>326</v>
      </c>
    </row>
    <row r="85" spans="1:15" ht="15.6">
      <c r="A85" s="56" t="s">
        <v>327</v>
      </c>
      <c r="B85" s="284">
        <f>564.529*1.038</f>
        <v>585.98110199999996</v>
      </c>
      <c r="C85" s="284"/>
      <c r="D85" s="56" t="s">
        <v>37</v>
      </c>
      <c r="E85" s="56" t="s">
        <v>40</v>
      </c>
      <c r="F85" s="50" t="s">
        <v>29</v>
      </c>
      <c r="G85" s="56" t="s">
        <v>59</v>
      </c>
      <c r="H85" s="56" t="s">
        <v>33</v>
      </c>
      <c r="I85" s="285">
        <v>2</v>
      </c>
      <c r="J85" s="285">
        <f>LN(B85)</f>
        <v>6.3732875399102396</v>
      </c>
      <c r="K85" s="285">
        <v>0.45825756899999998</v>
      </c>
      <c r="L85" s="285" t="s">
        <v>31</v>
      </c>
      <c r="M85" s="285" t="s">
        <v>31</v>
      </c>
      <c r="N85" s="285" t="s">
        <v>31</v>
      </c>
      <c r="O85" s="56"/>
    </row>
    <row r="86" spans="1:15" ht="15.6">
      <c r="A86" s="56" t="s">
        <v>328</v>
      </c>
      <c r="B86" s="284">
        <f>564.529*0.202/4.95</f>
        <v>23.037345050505049</v>
      </c>
      <c r="C86" s="284"/>
      <c r="D86" s="56" t="s">
        <v>37</v>
      </c>
      <c r="E86" s="56" t="s">
        <v>40</v>
      </c>
      <c r="F86" s="50" t="s">
        <v>29</v>
      </c>
      <c r="G86" s="56" t="s">
        <v>82</v>
      </c>
      <c r="H86" s="56" t="s">
        <v>33</v>
      </c>
      <c r="I86" s="285">
        <v>2</v>
      </c>
      <c r="J86" s="285">
        <f t="shared" ref="J86:J89" si="3">LN(B86)</f>
        <v>3.1371165970050119</v>
      </c>
      <c r="K86" s="285">
        <v>0.45825756899999998</v>
      </c>
      <c r="L86" s="285" t="s">
        <v>31</v>
      </c>
      <c r="M86" s="285" t="s">
        <v>31</v>
      </c>
      <c r="N86" s="285" t="s">
        <v>31</v>
      </c>
      <c r="O86" s="56" t="s">
        <v>329</v>
      </c>
    </row>
    <row r="87" spans="1:15" ht="15.6">
      <c r="A87" s="284" t="str">
        <f>A72</f>
        <v>tetraethyl orthosilicate allocated</v>
      </c>
      <c r="B87" s="284">
        <f>564.529*0.154</f>
        <v>86.937466000000001</v>
      </c>
      <c r="C87" s="284"/>
      <c r="D87" s="284" t="str">
        <f>D54</f>
        <v>kilogram</v>
      </c>
      <c r="E87" s="284" t="str">
        <f>E54</f>
        <v>GENESIS_2050_PEMFC-bat_Base</v>
      </c>
      <c r="F87" s="284" t="str">
        <f>F54</f>
        <v>battery including EoL</v>
      </c>
      <c r="G87" s="284" t="str">
        <f>G54</f>
        <v>RoW</v>
      </c>
      <c r="H87" s="56" t="s">
        <v>33</v>
      </c>
      <c r="I87" s="285">
        <v>2</v>
      </c>
      <c r="J87" s="285">
        <f t="shared" si="3"/>
        <v>4.4651890785980353</v>
      </c>
      <c r="K87" s="285">
        <v>0.45825756899999998</v>
      </c>
      <c r="L87" s="285" t="s">
        <v>31</v>
      </c>
      <c r="M87" s="285" t="s">
        <v>31</v>
      </c>
      <c r="N87" s="285" t="s">
        <v>31</v>
      </c>
      <c r="O87" s="56"/>
    </row>
    <row r="88" spans="1:15" ht="15.6">
      <c r="A88" s="56" t="s">
        <v>38</v>
      </c>
      <c r="B88" s="284">
        <f>564.529*(0.45+13.9)</f>
        <v>8100.9911499999998</v>
      </c>
      <c r="C88" s="284"/>
      <c r="D88" s="56" t="s">
        <v>39</v>
      </c>
      <c r="E88" s="56" t="s">
        <v>40</v>
      </c>
      <c r="F88" s="50" t="s">
        <v>29</v>
      </c>
      <c r="G88" s="56" t="s">
        <v>59</v>
      </c>
      <c r="H88" s="56" t="s">
        <v>33</v>
      </c>
      <c r="I88" s="285">
        <v>2</v>
      </c>
      <c r="J88" s="285">
        <f t="shared" si="3"/>
        <v>8.9997416973721727</v>
      </c>
      <c r="K88" s="285">
        <v>0.45825756899999998</v>
      </c>
      <c r="L88" s="285" t="s">
        <v>31</v>
      </c>
      <c r="M88" s="285" t="s">
        <v>31</v>
      </c>
      <c r="N88" s="285" t="s">
        <v>31</v>
      </c>
      <c r="O88" s="56"/>
    </row>
    <row r="89" spans="1:15" ht="15.6">
      <c r="A89" s="59" t="s">
        <v>70</v>
      </c>
      <c r="B89" s="284">
        <f>564.529*(166.8)</f>
        <v>94163.4372</v>
      </c>
      <c r="C89" s="284"/>
      <c r="D89" s="56" t="s">
        <v>71</v>
      </c>
      <c r="E89" s="56" t="s">
        <v>40</v>
      </c>
      <c r="F89" s="50" t="s">
        <v>29</v>
      </c>
      <c r="G89" s="56" t="s">
        <v>59</v>
      </c>
      <c r="H89" s="56" t="s">
        <v>33</v>
      </c>
      <c r="I89" s="285">
        <v>2</v>
      </c>
      <c r="J89" s="285">
        <f t="shared" si="3"/>
        <v>11.452787245091189</v>
      </c>
      <c r="K89" s="285">
        <v>0.45825756899999998</v>
      </c>
      <c r="L89" s="285" t="s">
        <v>31</v>
      </c>
      <c r="M89" s="285" t="s">
        <v>31</v>
      </c>
      <c r="N89" s="285" t="s">
        <v>31</v>
      </c>
      <c r="O89" s="56"/>
    </row>
    <row r="90" spans="1:15" ht="15.6">
      <c r="A90" t="s">
        <v>312</v>
      </c>
      <c r="B90" s="284">
        <f>-564.529*0.038</f>
        <v>-21.452102</v>
      </c>
      <c r="C90" s="284"/>
      <c r="D90" s="56" t="s">
        <v>37</v>
      </c>
      <c r="E90" s="56" t="s">
        <v>40</v>
      </c>
      <c r="F90" s="50" t="s">
        <v>29</v>
      </c>
      <c r="G90" s="56" t="s">
        <v>82</v>
      </c>
      <c r="H90" s="56" t="s">
        <v>33</v>
      </c>
      <c r="I90" s="285">
        <v>0</v>
      </c>
      <c r="J90" s="285">
        <v>0</v>
      </c>
      <c r="K90" s="285">
        <v>0</v>
      </c>
      <c r="L90" s="285" t="s">
        <v>31</v>
      </c>
      <c r="M90" s="285" t="s">
        <v>31</v>
      </c>
      <c r="N90" s="285" t="s">
        <v>31</v>
      </c>
      <c r="O90" s="56"/>
    </row>
    <row r="91" spans="1:15" s="55" customFormat="1" ht="15.6">
      <c r="A91" s="286" t="s">
        <v>5</v>
      </c>
      <c r="B91" s="287" t="s">
        <v>330</v>
      </c>
      <c r="C91" s="287"/>
      <c r="D91" s="54"/>
      <c r="I91" s="288"/>
      <c r="J91" s="288"/>
      <c r="K91" s="288"/>
      <c r="L91" s="288"/>
      <c r="M91" s="288"/>
      <c r="N91" s="288"/>
    </row>
    <row r="92" spans="1:15">
      <c r="A92" s="50" t="s">
        <v>7</v>
      </c>
      <c r="B92" s="279" t="s">
        <v>295</v>
      </c>
    </row>
    <row r="93" spans="1:15">
      <c r="A93" s="50" t="s">
        <v>9</v>
      </c>
      <c r="B93" s="50" t="str">
        <f ca="1">UPPER(CONCATENATE(DEC2HEX(RANDBETWEEN(0,POWER(16,8)),8),DEC2HEX(RANDBETWEEN(0,POWER(16,4)),4),"4",DEC2HEX(RANDBETWEEN(0,POWER(16,3)),3),DEC2HEX(RANDBETWEEN(8,11)),DEC2HEX(RANDBETWEEN(0,POWER(16,3)),3),DEC2HEX(RANDBETWEEN(0,POWER(16,8)),8),DEC2HEX(RANDBETWEEN(0,POWER(16,4)),4)))</f>
        <v>7EE41607C5BF4993B7DBDE0894B41EDF</v>
      </c>
    </row>
    <row r="94" spans="1:15">
      <c r="A94" s="50" t="s">
        <v>11</v>
      </c>
      <c r="B94" s="279" t="s">
        <v>296</v>
      </c>
    </row>
    <row r="95" spans="1:15">
      <c r="A95" s="50" t="s">
        <v>13</v>
      </c>
      <c r="B95" s="279" t="s">
        <v>59</v>
      </c>
    </row>
    <row r="96" spans="1:15">
      <c r="A96" s="50" t="s">
        <v>15</v>
      </c>
      <c r="B96" s="279">
        <v>1</v>
      </c>
    </row>
    <row r="97" spans="1:15">
      <c r="A97" s="50" t="s">
        <v>16</v>
      </c>
      <c r="B97" s="279" t="s">
        <v>17</v>
      </c>
    </row>
    <row r="98" spans="1:15">
      <c r="A98" s="50" t="s">
        <v>18</v>
      </c>
      <c r="B98" s="279" t="s">
        <v>37</v>
      </c>
    </row>
    <row r="99" spans="1:15" ht="15.6">
      <c r="A99" s="52" t="s">
        <v>19</v>
      </c>
    </row>
    <row r="100" spans="1:15" ht="15.6">
      <c r="A100" s="52" t="s">
        <v>20</v>
      </c>
      <c r="B100" s="281" t="s">
        <v>21</v>
      </c>
      <c r="C100" s="281" t="s">
        <v>217</v>
      </c>
      <c r="D100" s="52" t="s">
        <v>18</v>
      </c>
      <c r="E100" s="52" t="s">
        <v>22</v>
      </c>
      <c r="F100" s="52" t="s">
        <v>7</v>
      </c>
      <c r="G100" s="52" t="s">
        <v>13</v>
      </c>
      <c r="H100" s="52" t="s">
        <v>16</v>
      </c>
      <c r="I100" s="282" t="s">
        <v>23</v>
      </c>
      <c r="J100" s="282" t="s">
        <v>24</v>
      </c>
      <c r="K100" s="282" t="s">
        <v>25</v>
      </c>
      <c r="L100" s="282" t="s">
        <v>26</v>
      </c>
      <c r="M100" s="282" t="s">
        <v>27</v>
      </c>
      <c r="N100" s="282" t="s">
        <v>28</v>
      </c>
      <c r="O100" s="52" t="s">
        <v>11</v>
      </c>
    </row>
    <row r="101" spans="1:15" ht="15.6">
      <c r="A101" s="284" t="str">
        <f>B91</f>
        <v>production of lithium perchlorate</v>
      </c>
      <c r="B101" s="284">
        <v>1</v>
      </c>
      <c r="C101" s="284"/>
      <c r="D101" s="56" t="s">
        <v>37</v>
      </c>
      <c r="E101" s="56" t="s">
        <v>2</v>
      </c>
      <c r="F101" s="50" t="s">
        <v>295</v>
      </c>
      <c r="G101" s="56" t="s">
        <v>59</v>
      </c>
      <c r="H101" s="56" t="s">
        <v>30</v>
      </c>
      <c r="I101" s="285">
        <v>0</v>
      </c>
      <c r="J101" s="285" t="s">
        <v>31</v>
      </c>
      <c r="K101" s="285" t="s">
        <v>31</v>
      </c>
      <c r="L101" s="285" t="s">
        <v>31</v>
      </c>
      <c r="M101" s="285" t="s">
        <v>31</v>
      </c>
      <c r="N101" s="285" t="s">
        <v>31</v>
      </c>
      <c r="O101" s="56" t="s">
        <v>331</v>
      </c>
    </row>
    <row r="102" spans="1:15" ht="15.6">
      <c r="A102" s="50" t="s">
        <v>332</v>
      </c>
      <c r="B102" s="279">
        <f>0.398</f>
        <v>0.39800000000000002</v>
      </c>
      <c r="C102" s="284"/>
      <c r="D102" s="50" t="s">
        <v>37</v>
      </c>
      <c r="E102" s="57" t="s">
        <v>40</v>
      </c>
      <c r="F102" s="50" t="s">
        <v>29</v>
      </c>
      <c r="G102" s="50" t="s">
        <v>59</v>
      </c>
      <c r="H102" s="50" t="s">
        <v>33</v>
      </c>
      <c r="I102" s="280">
        <v>2</v>
      </c>
      <c r="J102" s="285">
        <f>LN(B102)</f>
        <v>-0.92130327369769927</v>
      </c>
      <c r="K102" s="285">
        <v>0.03</v>
      </c>
      <c r="L102" s="285" t="s">
        <v>31</v>
      </c>
      <c r="M102" s="285" t="s">
        <v>31</v>
      </c>
      <c r="N102" s="285" t="s">
        <v>31</v>
      </c>
    </row>
    <row r="103" spans="1:15" ht="15.6">
      <c r="A103" s="50" t="s">
        <v>333</v>
      </c>
      <c r="B103" s="279">
        <f>1.151</f>
        <v>1.151</v>
      </c>
      <c r="C103" s="284"/>
      <c r="D103" s="50" t="s">
        <v>37</v>
      </c>
      <c r="E103" s="57" t="s">
        <v>40</v>
      </c>
      <c r="F103" s="50" t="s">
        <v>29</v>
      </c>
      <c r="G103" s="50" t="s">
        <v>59</v>
      </c>
      <c r="H103" s="50" t="s">
        <v>33</v>
      </c>
      <c r="I103" s="280">
        <v>2</v>
      </c>
      <c r="J103" s="285">
        <f t="shared" ref="J103:J106" si="4">LN(B103)</f>
        <v>0.14063112973974562</v>
      </c>
      <c r="K103" s="285">
        <v>0.03</v>
      </c>
      <c r="L103" s="285" t="s">
        <v>31</v>
      </c>
      <c r="M103" s="285" t="s">
        <v>31</v>
      </c>
      <c r="N103" s="285" t="s">
        <v>31</v>
      </c>
    </row>
    <row r="104" spans="1:15" ht="15.6">
      <c r="A104" s="50" t="s">
        <v>38</v>
      </c>
      <c r="B104" s="279">
        <f>3</f>
        <v>3</v>
      </c>
      <c r="C104" s="284"/>
      <c r="D104" s="50" t="s">
        <v>39</v>
      </c>
      <c r="E104" s="57" t="s">
        <v>40</v>
      </c>
      <c r="F104" s="50" t="s">
        <v>29</v>
      </c>
      <c r="G104" s="50" t="s">
        <v>59</v>
      </c>
      <c r="H104" s="50" t="s">
        <v>33</v>
      </c>
      <c r="I104" s="280">
        <v>2</v>
      </c>
      <c r="J104" s="285">
        <f t="shared" si="4"/>
        <v>1.0986122886681098</v>
      </c>
      <c r="K104" s="285">
        <v>0.03</v>
      </c>
      <c r="L104" s="285" t="s">
        <v>31</v>
      </c>
      <c r="M104" s="285" t="s">
        <v>31</v>
      </c>
      <c r="N104" s="285" t="s">
        <v>31</v>
      </c>
    </row>
    <row r="105" spans="1:15" ht="15.6">
      <c r="A105" s="59" t="s">
        <v>334</v>
      </c>
      <c r="B105" s="279">
        <f>0.549*0.3934</f>
        <v>0.21597660000000002</v>
      </c>
      <c r="D105" s="50" t="s">
        <v>37</v>
      </c>
      <c r="E105" s="57" t="s">
        <v>43</v>
      </c>
      <c r="F105" s="50" t="s">
        <v>335</v>
      </c>
      <c r="G105" s="50" t="s">
        <v>29</v>
      </c>
      <c r="H105" s="59" t="s">
        <v>45</v>
      </c>
      <c r="I105" s="280">
        <v>2</v>
      </c>
      <c r="J105" s="285">
        <f t="shared" si="4"/>
        <v>-1.5325852104997848</v>
      </c>
      <c r="K105" s="285">
        <v>0.03</v>
      </c>
      <c r="L105" s="285" t="s">
        <v>31</v>
      </c>
      <c r="M105" s="285" t="s">
        <v>31</v>
      </c>
      <c r="N105" s="285" t="s">
        <v>31</v>
      </c>
      <c r="O105" s="50" t="s">
        <v>336</v>
      </c>
    </row>
    <row r="106" spans="1:15" ht="15.6">
      <c r="A106" s="59" t="s">
        <v>337</v>
      </c>
      <c r="B106" s="279">
        <f>0.549*0.6066</f>
        <v>0.33302340000000002</v>
      </c>
      <c r="D106" s="50" t="s">
        <v>37</v>
      </c>
      <c r="E106" s="57" t="s">
        <v>43</v>
      </c>
      <c r="F106" s="50" t="s">
        <v>335</v>
      </c>
      <c r="G106" s="50" t="s">
        <v>29</v>
      </c>
      <c r="H106" s="50" t="s">
        <v>45</v>
      </c>
      <c r="I106" s="280">
        <v>2</v>
      </c>
      <c r="J106" s="285">
        <f t="shared" si="4"/>
        <v>-1.0995425212002627</v>
      </c>
      <c r="K106" s="285">
        <v>0.03</v>
      </c>
      <c r="L106" s="285" t="s">
        <v>31</v>
      </c>
      <c r="M106" s="285" t="s">
        <v>31</v>
      </c>
      <c r="N106" s="285" t="s">
        <v>31</v>
      </c>
      <c r="O106" s="50" t="s">
        <v>336</v>
      </c>
    </row>
    <row r="107" spans="1:15" s="55" customFormat="1" ht="15.6">
      <c r="A107" s="286" t="s">
        <v>5</v>
      </c>
      <c r="B107" s="287" t="s">
        <v>338</v>
      </c>
      <c r="C107" s="287"/>
      <c r="D107" s="54"/>
      <c r="I107" s="288"/>
      <c r="J107" s="288"/>
      <c r="K107" s="288"/>
      <c r="L107" s="288"/>
      <c r="M107" s="288"/>
      <c r="N107" s="288"/>
    </row>
    <row r="108" spans="1:15">
      <c r="A108" s="50" t="s">
        <v>7</v>
      </c>
      <c r="B108" s="279" t="s">
        <v>295</v>
      </c>
    </row>
    <row r="109" spans="1:15">
      <c r="A109" s="50" t="s">
        <v>9</v>
      </c>
      <c r="B109" s="50" t="str">
        <f ca="1">UPPER(CONCATENATE(DEC2HEX(RANDBETWEEN(0,POWER(16,8)),8),DEC2HEX(RANDBETWEEN(0,POWER(16,4)),4),"4",DEC2HEX(RANDBETWEEN(0,POWER(16,3)),3),DEC2HEX(RANDBETWEEN(8,11)),DEC2HEX(RANDBETWEEN(0,POWER(16,3)),3),DEC2HEX(RANDBETWEEN(0,POWER(16,8)),8),DEC2HEX(RANDBETWEEN(0,POWER(16,4)),4)))</f>
        <v>9B2FE4FA506D47C9A2A72E5787ABAC4D</v>
      </c>
    </row>
    <row r="110" spans="1:15">
      <c r="A110" s="50" t="s">
        <v>11</v>
      </c>
      <c r="B110" s="279" t="s">
        <v>296</v>
      </c>
    </row>
    <row r="111" spans="1:15">
      <c r="A111" s="50" t="s">
        <v>13</v>
      </c>
      <c r="B111" s="279" t="s">
        <v>59</v>
      </c>
    </row>
    <row r="112" spans="1:15">
      <c r="A112" s="50" t="s">
        <v>15</v>
      </c>
      <c r="B112" s="279">
        <v>1</v>
      </c>
    </row>
    <row r="113" spans="1:15">
      <c r="A113" s="50" t="s">
        <v>16</v>
      </c>
      <c r="B113" s="279" t="s">
        <v>17</v>
      </c>
    </row>
    <row r="114" spans="1:15">
      <c r="A114" s="50" t="s">
        <v>18</v>
      </c>
      <c r="B114" s="279" t="s">
        <v>18</v>
      </c>
    </row>
    <row r="115" spans="1:15" ht="15.6">
      <c r="A115" s="52" t="s">
        <v>19</v>
      </c>
    </row>
    <row r="116" spans="1:15" ht="15.6">
      <c r="A116" s="52" t="s">
        <v>20</v>
      </c>
      <c r="B116" s="281" t="s">
        <v>21</v>
      </c>
      <c r="C116" s="281" t="s">
        <v>217</v>
      </c>
      <c r="D116" s="52" t="s">
        <v>18</v>
      </c>
      <c r="E116" s="52" t="s">
        <v>22</v>
      </c>
      <c r="F116" s="52" t="s">
        <v>7</v>
      </c>
      <c r="G116" s="52" t="s">
        <v>13</v>
      </c>
      <c r="H116" s="52" t="s">
        <v>16</v>
      </c>
      <c r="I116" s="282" t="s">
        <v>23</v>
      </c>
      <c r="J116" s="282" t="s">
        <v>24</v>
      </c>
      <c r="K116" s="282" t="s">
        <v>25</v>
      </c>
      <c r="L116" s="282" t="s">
        <v>26</v>
      </c>
      <c r="M116" s="282" t="s">
        <v>27</v>
      </c>
      <c r="N116" s="282" t="s">
        <v>28</v>
      </c>
      <c r="O116" s="52" t="s">
        <v>11</v>
      </c>
    </row>
    <row r="117" spans="1:15" ht="15.6">
      <c r="A117" s="50" t="s">
        <v>338</v>
      </c>
      <c r="B117" s="284">
        <v>1</v>
      </c>
      <c r="C117" s="284"/>
      <c r="D117" s="56" t="s">
        <v>18</v>
      </c>
      <c r="E117" s="56" t="s">
        <v>2</v>
      </c>
      <c r="F117" s="50" t="s">
        <v>295</v>
      </c>
      <c r="G117" s="50" t="s">
        <v>59</v>
      </c>
      <c r="H117" s="56" t="s">
        <v>30</v>
      </c>
      <c r="I117" s="285">
        <v>0</v>
      </c>
      <c r="J117" s="285" t="s">
        <v>31</v>
      </c>
      <c r="K117" s="285" t="s">
        <v>31</v>
      </c>
      <c r="L117" s="285" t="s">
        <v>31</v>
      </c>
      <c r="M117" s="285" t="s">
        <v>31</v>
      </c>
      <c r="N117" s="285" t="s">
        <v>31</v>
      </c>
      <c r="O117" s="56" t="s">
        <v>339</v>
      </c>
    </row>
    <row r="118" spans="1:15" ht="15.6">
      <c r="A118" s="279" t="str">
        <f>A101</f>
        <v>production of lithium perchlorate</v>
      </c>
      <c r="B118" s="279">
        <f>6*675*0.0058</f>
        <v>23.49</v>
      </c>
      <c r="D118" s="279" t="str">
        <f>D101</f>
        <v>kilogram</v>
      </c>
      <c r="E118" s="279" t="str">
        <f>E101</f>
        <v>GENESIS_2050_PEMFC-bat_Base</v>
      </c>
      <c r="F118" s="50" t="s">
        <v>295</v>
      </c>
      <c r="G118" s="50" t="s">
        <v>59</v>
      </c>
      <c r="H118" s="50" t="s">
        <v>33</v>
      </c>
      <c r="I118" s="280">
        <v>2</v>
      </c>
      <c r="J118" s="280">
        <f t="shared" ref="J118:J119" si="5">LN(B118)</f>
        <v>3.1565747986708215</v>
      </c>
      <c r="K118" s="280">
        <v>2.8284271E-2</v>
      </c>
      <c r="L118" s="285" t="s">
        <v>31</v>
      </c>
      <c r="M118" s="285" t="s">
        <v>31</v>
      </c>
      <c r="N118" s="285" t="s">
        <v>31</v>
      </c>
    </row>
    <row r="119" spans="1:15" ht="15.6">
      <c r="A119" t="s">
        <v>340</v>
      </c>
      <c r="B119" s="279">
        <f>675*6*0.1108</f>
        <v>448.74</v>
      </c>
      <c r="D119" s="50" t="s">
        <v>37</v>
      </c>
      <c r="E119" s="57" t="s">
        <v>40</v>
      </c>
      <c r="F119" s="50" t="s">
        <v>29</v>
      </c>
      <c r="G119" s="50" t="s">
        <v>59</v>
      </c>
      <c r="H119" s="50" t="s">
        <v>33</v>
      </c>
      <c r="I119" s="280">
        <v>2</v>
      </c>
      <c r="J119" s="280">
        <f t="shared" si="5"/>
        <v>6.1064436554316313</v>
      </c>
      <c r="K119" s="280">
        <v>2.8284271E-2</v>
      </c>
      <c r="L119" s="285" t="s">
        <v>31</v>
      </c>
      <c r="M119" s="285" t="s">
        <v>31</v>
      </c>
      <c r="N119" s="285" t="s">
        <v>31</v>
      </c>
      <c r="O119" s="50" t="s">
        <v>341</v>
      </c>
    </row>
    <row r="120" spans="1:15" s="55" customFormat="1" ht="15.6">
      <c r="A120" s="286" t="s">
        <v>5</v>
      </c>
      <c r="B120" s="287" t="s">
        <v>342</v>
      </c>
      <c r="C120" s="287"/>
      <c r="D120" s="54"/>
      <c r="I120" s="288"/>
      <c r="J120" s="288"/>
      <c r="K120" s="288"/>
      <c r="L120" s="288"/>
      <c r="M120" s="288"/>
      <c r="N120" s="288"/>
    </row>
    <row r="121" spans="1:15">
      <c r="A121" s="50" t="s">
        <v>7</v>
      </c>
      <c r="B121" s="279" t="s">
        <v>295</v>
      </c>
    </row>
    <row r="122" spans="1:15">
      <c r="A122" s="50" t="s">
        <v>9</v>
      </c>
      <c r="B122" s="50" t="str">
        <f ca="1">UPPER(CONCATENATE(DEC2HEX(RANDBETWEEN(0,POWER(16,8)),8),DEC2HEX(RANDBETWEEN(0,POWER(16,4)),4),"4",DEC2HEX(RANDBETWEEN(0,POWER(16,3)),3),DEC2HEX(RANDBETWEEN(8,11)),DEC2HEX(RANDBETWEEN(0,POWER(16,3)),3),DEC2HEX(RANDBETWEEN(0,POWER(16,8)),8),DEC2HEX(RANDBETWEEN(0,POWER(16,4)),4)))</f>
        <v>BD452D17515A4F38BF9F1223548AA7B3</v>
      </c>
    </row>
    <row r="123" spans="1:15">
      <c r="A123" s="50" t="s">
        <v>11</v>
      </c>
      <c r="B123" s="279" t="s">
        <v>296</v>
      </c>
    </row>
    <row r="124" spans="1:15">
      <c r="A124" s="50" t="s">
        <v>13</v>
      </c>
      <c r="B124" s="279" t="s">
        <v>59</v>
      </c>
    </row>
    <row r="125" spans="1:15">
      <c r="A125" s="50" t="s">
        <v>15</v>
      </c>
      <c r="B125" s="279">
        <v>1</v>
      </c>
    </row>
    <row r="126" spans="1:15">
      <c r="A126" s="50" t="s">
        <v>16</v>
      </c>
      <c r="B126" s="279" t="s">
        <v>17</v>
      </c>
    </row>
    <row r="127" spans="1:15">
      <c r="A127" s="50" t="s">
        <v>18</v>
      </c>
      <c r="B127" s="279" t="s">
        <v>18</v>
      </c>
    </row>
    <row r="128" spans="1:15" ht="15.6">
      <c r="A128" s="52" t="s">
        <v>19</v>
      </c>
    </row>
    <row r="129" spans="1:15" ht="15.6">
      <c r="A129" s="52" t="s">
        <v>20</v>
      </c>
      <c r="B129" s="281" t="s">
        <v>21</v>
      </c>
      <c r="C129" s="281" t="s">
        <v>217</v>
      </c>
      <c r="D129" s="52" t="s">
        <v>18</v>
      </c>
      <c r="E129" s="52" t="s">
        <v>22</v>
      </c>
      <c r="F129" s="52" t="s">
        <v>7</v>
      </c>
      <c r="G129" s="52" t="s">
        <v>13</v>
      </c>
      <c r="H129" s="52" t="s">
        <v>16</v>
      </c>
      <c r="I129" s="282" t="s">
        <v>23</v>
      </c>
      <c r="J129" s="282" t="s">
        <v>24</v>
      </c>
      <c r="K129" s="282" t="s">
        <v>25</v>
      </c>
      <c r="L129" s="282" t="s">
        <v>26</v>
      </c>
      <c r="M129" s="282" t="s">
        <v>27</v>
      </c>
      <c r="N129" s="282" t="s">
        <v>28</v>
      </c>
      <c r="O129" s="52" t="s">
        <v>11</v>
      </c>
    </row>
    <row r="130" spans="1:15" ht="15.6">
      <c r="A130" s="56" t="s">
        <v>342</v>
      </c>
      <c r="B130" s="284">
        <v>1</v>
      </c>
      <c r="C130" s="284"/>
      <c r="D130" s="56" t="s">
        <v>18</v>
      </c>
      <c r="E130" s="56" t="s">
        <v>2</v>
      </c>
      <c r="F130" s="50" t="s">
        <v>295</v>
      </c>
      <c r="G130" s="56" t="s">
        <v>59</v>
      </c>
      <c r="H130" s="56" t="s">
        <v>30</v>
      </c>
      <c r="I130" s="285">
        <v>0</v>
      </c>
      <c r="J130" s="285" t="s">
        <v>31</v>
      </c>
      <c r="K130" s="285" t="s">
        <v>31</v>
      </c>
      <c r="L130" s="285" t="s">
        <v>31</v>
      </c>
      <c r="M130" s="285" t="s">
        <v>31</v>
      </c>
      <c r="N130" s="285" t="s">
        <v>31</v>
      </c>
      <c r="O130" s="56" t="s">
        <v>343</v>
      </c>
    </row>
    <row r="131" spans="1:15" ht="15.6">
      <c r="A131" s="50" t="s">
        <v>344</v>
      </c>
      <c r="B131" s="279">
        <f>675*6*0.02571*0.335</f>
        <v>34.882042500000004</v>
      </c>
      <c r="D131" s="50" t="s">
        <v>37</v>
      </c>
      <c r="E131" s="57" t="s">
        <v>40</v>
      </c>
      <c r="F131" s="50" t="s">
        <v>29</v>
      </c>
      <c r="G131" s="50" t="s">
        <v>59</v>
      </c>
      <c r="H131" s="50" t="s">
        <v>33</v>
      </c>
      <c r="I131" s="280">
        <v>2</v>
      </c>
      <c r="J131" s="280">
        <f t="shared" ref="J131:J132" si="6">LN(B131)</f>
        <v>3.5519721552391754</v>
      </c>
      <c r="K131" s="280">
        <v>0.03</v>
      </c>
      <c r="L131" s="285" t="s">
        <v>31</v>
      </c>
      <c r="M131" s="285" t="s">
        <v>31</v>
      </c>
      <c r="N131" s="285" t="s">
        <v>31</v>
      </c>
    </row>
    <row r="132" spans="1:15" ht="15.6">
      <c r="A132" s="50" t="s">
        <v>121</v>
      </c>
      <c r="B132" s="279">
        <f>675*6*0.02571*0.665</f>
        <v>69.243457500000005</v>
      </c>
      <c r="D132" s="50" t="s">
        <v>37</v>
      </c>
      <c r="E132" s="57" t="s">
        <v>40</v>
      </c>
      <c r="F132" s="50" t="s">
        <v>29</v>
      </c>
      <c r="G132" s="50" t="s">
        <v>59</v>
      </c>
      <c r="H132" s="50" t="s">
        <v>33</v>
      </c>
      <c r="I132" s="280">
        <v>2</v>
      </c>
      <c r="J132" s="280">
        <f t="shared" si="6"/>
        <v>4.2376286640699634</v>
      </c>
      <c r="K132" s="280">
        <v>0.03</v>
      </c>
      <c r="L132" s="285" t="s">
        <v>31</v>
      </c>
      <c r="M132" s="285" t="s">
        <v>31</v>
      </c>
      <c r="N132" s="285" t="s">
        <v>31</v>
      </c>
    </row>
    <row r="133" spans="1:15" s="55" customFormat="1" ht="15.6">
      <c r="A133" s="286" t="s">
        <v>5</v>
      </c>
      <c r="B133" s="287" t="s">
        <v>345</v>
      </c>
      <c r="C133" s="287"/>
      <c r="D133" s="54"/>
      <c r="I133" s="288"/>
      <c r="J133" s="288"/>
      <c r="K133" s="288"/>
      <c r="L133" s="288"/>
      <c r="M133" s="288"/>
      <c r="N133" s="288"/>
    </row>
    <row r="134" spans="1:15">
      <c r="A134" s="50" t="s">
        <v>7</v>
      </c>
      <c r="B134" s="279" t="s">
        <v>295</v>
      </c>
    </row>
    <row r="135" spans="1:15">
      <c r="A135" s="50" t="s">
        <v>9</v>
      </c>
      <c r="B135" s="50" t="str">
        <f ca="1">UPPER(CONCATENATE(DEC2HEX(RANDBETWEEN(0,POWER(16,8)),8),DEC2HEX(RANDBETWEEN(0,POWER(16,4)),4),"4",DEC2HEX(RANDBETWEEN(0,POWER(16,3)),3),DEC2HEX(RANDBETWEEN(8,11)),DEC2HEX(RANDBETWEEN(0,POWER(16,3)),3),DEC2HEX(RANDBETWEEN(0,POWER(16,8)),8),DEC2HEX(RANDBETWEEN(0,POWER(16,4)),4)))</f>
        <v>C985A87440C149AE85F17B8887C40F8C</v>
      </c>
    </row>
    <row r="136" spans="1:15">
      <c r="A136" s="50" t="s">
        <v>11</v>
      </c>
      <c r="B136" s="279" t="s">
        <v>296</v>
      </c>
    </row>
    <row r="137" spans="1:15">
      <c r="A137" s="50" t="s">
        <v>13</v>
      </c>
      <c r="B137" s="279" t="s">
        <v>59</v>
      </c>
    </row>
    <row r="138" spans="1:15">
      <c r="A138" s="50" t="s">
        <v>15</v>
      </c>
      <c r="B138" s="279">
        <v>1</v>
      </c>
    </row>
    <row r="139" spans="1:15">
      <c r="A139" s="50" t="s">
        <v>16</v>
      </c>
      <c r="B139" s="279" t="s">
        <v>17</v>
      </c>
    </row>
    <row r="140" spans="1:15">
      <c r="A140" s="50" t="s">
        <v>18</v>
      </c>
      <c r="B140" s="279" t="s">
        <v>18</v>
      </c>
    </row>
    <row r="141" spans="1:15" ht="15.6">
      <c r="A141" s="52" t="s">
        <v>19</v>
      </c>
    </row>
    <row r="142" spans="1:15" ht="15.6">
      <c r="A142" s="52" t="s">
        <v>20</v>
      </c>
      <c r="B142" s="281" t="s">
        <v>21</v>
      </c>
      <c r="C142" s="281" t="s">
        <v>217</v>
      </c>
      <c r="D142" s="52" t="s">
        <v>18</v>
      </c>
      <c r="E142" s="52" t="s">
        <v>22</v>
      </c>
      <c r="F142" s="52" t="s">
        <v>7</v>
      </c>
      <c r="G142" s="52" t="s">
        <v>13</v>
      </c>
      <c r="H142" s="52" t="s">
        <v>16</v>
      </c>
      <c r="I142" s="282" t="s">
        <v>23</v>
      </c>
      <c r="J142" s="282" t="s">
        <v>24</v>
      </c>
      <c r="K142" s="282" t="s">
        <v>25</v>
      </c>
      <c r="L142" s="282" t="s">
        <v>26</v>
      </c>
      <c r="M142" s="282" t="s">
        <v>27</v>
      </c>
      <c r="N142" s="282" t="s">
        <v>28</v>
      </c>
      <c r="O142" s="52" t="s">
        <v>11</v>
      </c>
    </row>
    <row r="143" spans="1:15" ht="15.6">
      <c r="A143" s="56" t="s">
        <v>345</v>
      </c>
      <c r="B143" s="284">
        <v>1</v>
      </c>
      <c r="C143" s="284"/>
      <c r="D143" s="56" t="s">
        <v>18</v>
      </c>
      <c r="E143" s="56" t="s">
        <v>2</v>
      </c>
      <c r="F143" s="50" t="s">
        <v>295</v>
      </c>
      <c r="G143" s="56" t="s">
        <v>59</v>
      </c>
      <c r="H143" s="56" t="s">
        <v>30</v>
      </c>
      <c r="I143" s="285">
        <v>0</v>
      </c>
      <c r="J143" s="285" t="s">
        <v>31</v>
      </c>
      <c r="K143" s="285" t="s">
        <v>31</v>
      </c>
      <c r="L143" s="285" t="s">
        <v>31</v>
      </c>
      <c r="M143" s="285" t="s">
        <v>31</v>
      </c>
      <c r="N143" s="285" t="s">
        <v>31</v>
      </c>
      <c r="O143" s="56" t="s">
        <v>346</v>
      </c>
    </row>
    <row r="144" spans="1:15" ht="15.6">
      <c r="A144" s="50" t="s">
        <v>347</v>
      </c>
      <c r="B144" s="279">
        <f>675*6*0.01942*(0.679)</f>
        <v>53.404029000000001</v>
      </c>
      <c r="D144" s="50" t="s">
        <v>37</v>
      </c>
      <c r="E144" s="57" t="s">
        <v>40</v>
      </c>
      <c r="F144" s="50" t="s">
        <v>29</v>
      </c>
      <c r="G144" s="50" t="s">
        <v>59</v>
      </c>
      <c r="H144" s="50" t="s">
        <v>33</v>
      </c>
      <c r="I144" s="280">
        <v>2</v>
      </c>
      <c r="J144" s="280">
        <f>LN(B144)</f>
        <v>3.9778861925581857</v>
      </c>
      <c r="K144" s="290">
        <v>2.4494897000000002E-2</v>
      </c>
      <c r="L144" s="285" t="s">
        <v>31</v>
      </c>
      <c r="M144" s="285" t="s">
        <v>31</v>
      </c>
      <c r="N144" s="285" t="s">
        <v>31</v>
      </c>
    </row>
    <row r="145" spans="1:15" ht="15.6">
      <c r="A145" s="291" t="s">
        <v>348</v>
      </c>
      <c r="B145" s="279">
        <f>675*6*0.01942*(0.667)</f>
        <v>52.460217</v>
      </c>
      <c r="D145" s="50" t="s">
        <v>37</v>
      </c>
      <c r="E145" s="57" t="s">
        <v>40</v>
      </c>
      <c r="F145" s="50" t="s">
        <v>29</v>
      </c>
      <c r="G145" s="50" t="s">
        <v>59</v>
      </c>
      <c r="H145" s="50" t="s">
        <v>33</v>
      </c>
      <c r="I145" s="280">
        <v>2</v>
      </c>
      <c r="J145" s="280">
        <f>LN(B145)</f>
        <v>3.9600551109151132</v>
      </c>
      <c r="K145" s="280">
        <v>2.4494897000000002E-2</v>
      </c>
      <c r="L145" s="285" t="s">
        <v>31</v>
      </c>
      <c r="M145" s="285" t="s">
        <v>31</v>
      </c>
      <c r="N145" s="285" t="s">
        <v>31</v>
      </c>
    </row>
    <row r="146" spans="1:15" ht="15.6">
      <c r="A146" s="292" t="s">
        <v>349</v>
      </c>
      <c r="B146" s="279">
        <f>675*6*0.01942*0.333</f>
        <v>26.190783</v>
      </c>
      <c r="D146" s="50" t="s">
        <v>37</v>
      </c>
      <c r="E146" s="57" t="s">
        <v>40</v>
      </c>
      <c r="F146" s="50" t="s">
        <v>29</v>
      </c>
      <c r="G146" s="50" t="s">
        <v>59</v>
      </c>
      <c r="H146" s="50" t="s">
        <v>33</v>
      </c>
      <c r="I146" s="280">
        <v>2</v>
      </c>
      <c r="J146" s="280">
        <f t="shared" ref="J146:J148" si="7">LN(B146)</f>
        <v>3.2654075549799333</v>
      </c>
      <c r="K146" s="280">
        <v>2.4494897000000002E-2</v>
      </c>
      <c r="L146" s="285" t="s">
        <v>31</v>
      </c>
      <c r="M146" s="285" t="s">
        <v>31</v>
      </c>
      <c r="N146" s="285" t="s">
        <v>31</v>
      </c>
    </row>
    <row r="147" spans="1:15" ht="15.6">
      <c r="A147" s="289" t="s">
        <v>94</v>
      </c>
      <c r="B147" s="279">
        <f>675*6*0.01942*0.137</f>
        <v>10.775187000000001</v>
      </c>
      <c r="C147" s="58" t="s">
        <v>350</v>
      </c>
      <c r="D147" s="50" t="s">
        <v>37</v>
      </c>
      <c r="E147" s="57" t="s">
        <v>40</v>
      </c>
      <c r="F147" s="50" t="s">
        <v>29</v>
      </c>
      <c r="G147" s="50" t="s">
        <v>59</v>
      </c>
      <c r="H147" s="50" t="s">
        <v>33</v>
      </c>
      <c r="I147" s="280">
        <v>2</v>
      </c>
      <c r="J147" s="280">
        <f t="shared" si="7"/>
        <v>2.3772459908276145</v>
      </c>
      <c r="K147" s="280">
        <v>2.4494897000000002E-2</v>
      </c>
      <c r="L147" s="285" t="s">
        <v>31</v>
      </c>
      <c r="M147" s="285" t="s">
        <v>31</v>
      </c>
      <c r="N147" s="285" t="s">
        <v>31</v>
      </c>
    </row>
    <row r="148" spans="1:15" ht="15.6">
      <c r="A148" s="50" t="s">
        <v>121</v>
      </c>
      <c r="B148" s="279">
        <f>675*6*0.01942*0.206</f>
        <v>16.202105999999997</v>
      </c>
      <c r="D148" s="50" t="s">
        <v>37</v>
      </c>
      <c r="E148" s="57" t="s">
        <v>40</v>
      </c>
      <c r="F148" s="50" t="s">
        <v>29</v>
      </c>
      <c r="G148" s="50" t="s">
        <v>59</v>
      </c>
      <c r="H148" s="50" t="s">
        <v>33</v>
      </c>
      <c r="I148" s="280">
        <v>2</v>
      </c>
      <c r="J148" s="280">
        <f t="shared" si="7"/>
        <v>2.7851412337890706</v>
      </c>
      <c r="K148" s="280">
        <v>2.4494897000000002E-2</v>
      </c>
      <c r="L148" s="285" t="s">
        <v>31</v>
      </c>
      <c r="M148" s="285" t="s">
        <v>31</v>
      </c>
      <c r="N148" s="285" t="s">
        <v>31</v>
      </c>
    </row>
    <row r="149" spans="1:15" s="55" customFormat="1" ht="15.6">
      <c r="A149" s="286" t="s">
        <v>5</v>
      </c>
      <c r="B149" s="287" t="s">
        <v>351</v>
      </c>
      <c r="C149" s="287"/>
      <c r="D149" s="54"/>
      <c r="I149" s="288"/>
      <c r="J149" s="288"/>
      <c r="K149" s="288"/>
      <c r="L149" s="288"/>
      <c r="M149" s="288"/>
      <c r="N149" s="288"/>
    </row>
    <row r="150" spans="1:15">
      <c r="A150" s="50" t="s">
        <v>7</v>
      </c>
      <c r="B150" s="279" t="s">
        <v>295</v>
      </c>
    </row>
    <row r="151" spans="1:15">
      <c r="A151" s="50" t="s">
        <v>9</v>
      </c>
      <c r="B151" s="50" t="str">
        <f ca="1">UPPER(CONCATENATE(DEC2HEX(RANDBETWEEN(0,POWER(16,8)),8),DEC2HEX(RANDBETWEEN(0,POWER(16,4)),4),"4",DEC2HEX(RANDBETWEEN(0,POWER(16,3)),3),DEC2HEX(RANDBETWEEN(8,11)),DEC2HEX(RANDBETWEEN(0,POWER(16,3)),3),DEC2HEX(RANDBETWEEN(0,POWER(16,8)),8),DEC2HEX(RANDBETWEEN(0,POWER(16,4)),4)))</f>
        <v>0113CC2FFCF44A98919B3F8629438F2D</v>
      </c>
    </row>
    <row r="152" spans="1:15">
      <c r="A152" s="50" t="s">
        <v>11</v>
      </c>
      <c r="B152" s="279" t="s">
        <v>296</v>
      </c>
    </row>
    <row r="153" spans="1:15">
      <c r="A153" s="50" t="s">
        <v>13</v>
      </c>
      <c r="B153" s="279" t="s">
        <v>59</v>
      </c>
    </row>
    <row r="154" spans="1:15">
      <c r="A154" s="50" t="s">
        <v>15</v>
      </c>
      <c r="B154" s="279">
        <v>1</v>
      </c>
    </row>
    <row r="155" spans="1:15">
      <c r="A155" s="50" t="s">
        <v>16</v>
      </c>
      <c r="B155" s="279" t="s">
        <v>17</v>
      </c>
    </row>
    <row r="156" spans="1:15">
      <c r="A156" s="50" t="s">
        <v>18</v>
      </c>
      <c r="B156" s="279" t="s">
        <v>18</v>
      </c>
    </row>
    <row r="157" spans="1:15" ht="15.6">
      <c r="A157" s="52" t="s">
        <v>19</v>
      </c>
    </row>
    <row r="158" spans="1:15" ht="15.6">
      <c r="A158" s="52" t="s">
        <v>20</v>
      </c>
      <c r="B158" s="281" t="s">
        <v>21</v>
      </c>
      <c r="C158" s="281" t="s">
        <v>217</v>
      </c>
      <c r="D158" s="52" t="s">
        <v>18</v>
      </c>
      <c r="E158" s="52" t="s">
        <v>22</v>
      </c>
      <c r="F158" s="52" t="s">
        <v>7</v>
      </c>
      <c r="G158" s="52" t="s">
        <v>13</v>
      </c>
      <c r="H158" s="52" t="s">
        <v>16</v>
      </c>
      <c r="I158" s="282" t="s">
        <v>23</v>
      </c>
      <c r="J158" s="282" t="s">
        <v>24</v>
      </c>
      <c r="K158" s="282" t="s">
        <v>25</v>
      </c>
      <c r="L158" s="282" t="s">
        <v>26</v>
      </c>
      <c r="M158" s="282" t="s">
        <v>27</v>
      </c>
      <c r="N158" s="282" t="s">
        <v>28</v>
      </c>
      <c r="O158" s="52" t="s">
        <v>11</v>
      </c>
    </row>
    <row r="159" spans="1:15" ht="15.6">
      <c r="A159" s="56" t="s">
        <v>351</v>
      </c>
      <c r="B159" s="293">
        <v>1</v>
      </c>
      <c r="C159" s="293"/>
      <c r="D159" s="56" t="s">
        <v>18</v>
      </c>
      <c r="E159" s="56" t="s">
        <v>2</v>
      </c>
      <c r="F159" s="50" t="s">
        <v>295</v>
      </c>
      <c r="G159" s="56" t="s">
        <v>59</v>
      </c>
      <c r="H159" s="56" t="s">
        <v>30</v>
      </c>
      <c r="I159" s="285">
        <v>0</v>
      </c>
      <c r="J159" s="285" t="s">
        <v>31</v>
      </c>
      <c r="K159" s="285" t="s">
        <v>31</v>
      </c>
      <c r="L159" s="285" t="s">
        <v>31</v>
      </c>
      <c r="M159" s="285" t="s">
        <v>31</v>
      </c>
      <c r="N159" s="285" t="s">
        <v>31</v>
      </c>
      <c r="O159" s="56" t="s">
        <v>352</v>
      </c>
    </row>
    <row r="160" spans="1:15" ht="15.6">
      <c r="A160" s="294" t="s">
        <v>315</v>
      </c>
      <c r="B160" s="279">
        <v>1</v>
      </c>
      <c r="D160" s="50" t="s">
        <v>18</v>
      </c>
      <c r="E160" s="50" t="s">
        <v>2</v>
      </c>
      <c r="F160" s="50" t="s">
        <v>295</v>
      </c>
      <c r="G160" s="50" t="s">
        <v>59</v>
      </c>
      <c r="H160" s="50" t="s">
        <v>33</v>
      </c>
      <c r="I160" s="295" t="s">
        <v>353</v>
      </c>
      <c r="J160" s="295" t="s">
        <v>354</v>
      </c>
      <c r="K160" s="296" t="s">
        <v>31</v>
      </c>
      <c r="L160" s="296" t="s">
        <v>31</v>
      </c>
      <c r="M160" s="296" t="s">
        <v>354</v>
      </c>
      <c r="N160" s="296" t="s">
        <v>355</v>
      </c>
    </row>
    <row r="161" spans="1:15" ht="15.6">
      <c r="A161" s="50" t="s">
        <v>325</v>
      </c>
      <c r="B161" s="279">
        <v>1</v>
      </c>
      <c r="D161" s="50" t="s">
        <v>18</v>
      </c>
      <c r="E161" s="50" t="s">
        <v>2</v>
      </c>
      <c r="F161" s="50" t="s">
        <v>295</v>
      </c>
      <c r="G161" s="50" t="s">
        <v>59</v>
      </c>
      <c r="H161" s="50" t="s">
        <v>33</v>
      </c>
      <c r="I161" s="295" t="s">
        <v>353</v>
      </c>
      <c r="J161" s="295" t="s">
        <v>354</v>
      </c>
      <c r="K161" s="296" t="s">
        <v>31</v>
      </c>
      <c r="L161" s="296" t="s">
        <v>31</v>
      </c>
      <c r="M161" s="296" t="s">
        <v>354</v>
      </c>
      <c r="N161" s="296" t="s">
        <v>355</v>
      </c>
    </row>
    <row r="162" spans="1:15" ht="15.6">
      <c r="A162" s="50" t="s">
        <v>338</v>
      </c>
      <c r="B162" s="284">
        <v>1</v>
      </c>
      <c r="C162" s="284"/>
      <c r="D162" s="50" t="s">
        <v>18</v>
      </c>
      <c r="E162" s="50" t="s">
        <v>2</v>
      </c>
      <c r="F162" s="50" t="s">
        <v>295</v>
      </c>
      <c r="G162" s="50" t="s">
        <v>59</v>
      </c>
      <c r="H162" s="50" t="s">
        <v>33</v>
      </c>
      <c r="I162" s="295" t="s">
        <v>353</v>
      </c>
      <c r="J162" s="295" t="s">
        <v>354</v>
      </c>
      <c r="K162" s="296" t="s">
        <v>31</v>
      </c>
      <c r="L162" s="296" t="s">
        <v>31</v>
      </c>
      <c r="M162" s="296" t="s">
        <v>354</v>
      </c>
      <c r="N162" s="296" t="s">
        <v>355</v>
      </c>
    </row>
    <row r="163" spans="1:15" ht="15.6">
      <c r="A163" s="50" t="s">
        <v>342</v>
      </c>
      <c r="B163" s="279">
        <v>1</v>
      </c>
      <c r="D163" s="50" t="s">
        <v>18</v>
      </c>
      <c r="E163" s="50" t="s">
        <v>2</v>
      </c>
      <c r="F163" s="50" t="s">
        <v>295</v>
      </c>
      <c r="G163" s="50" t="s">
        <v>59</v>
      </c>
      <c r="H163" s="50" t="s">
        <v>33</v>
      </c>
      <c r="I163" s="295" t="s">
        <v>353</v>
      </c>
      <c r="J163" s="295" t="s">
        <v>354</v>
      </c>
      <c r="K163" s="296" t="s">
        <v>31</v>
      </c>
      <c r="L163" s="296" t="s">
        <v>31</v>
      </c>
      <c r="M163" s="296" t="s">
        <v>354</v>
      </c>
      <c r="N163" s="296" t="s">
        <v>355</v>
      </c>
    </row>
    <row r="164" spans="1:15" ht="15.6">
      <c r="A164" s="50" t="s">
        <v>345</v>
      </c>
      <c r="B164" s="50">
        <v>1</v>
      </c>
      <c r="C164" s="50"/>
      <c r="D164" s="50" t="s">
        <v>18</v>
      </c>
      <c r="E164" s="50" t="s">
        <v>2</v>
      </c>
      <c r="F164" s="50" t="s">
        <v>295</v>
      </c>
      <c r="G164" s="50" t="s">
        <v>59</v>
      </c>
      <c r="H164" s="50" t="s">
        <v>33</v>
      </c>
      <c r="I164" s="295" t="s">
        <v>353</v>
      </c>
      <c r="J164" s="295" t="s">
        <v>354</v>
      </c>
      <c r="K164" s="296" t="s">
        <v>31</v>
      </c>
      <c r="L164" s="296" t="s">
        <v>31</v>
      </c>
      <c r="M164" s="296" t="s">
        <v>354</v>
      </c>
      <c r="N164" s="296" t="s">
        <v>355</v>
      </c>
    </row>
    <row r="165" spans="1:15" ht="15.6">
      <c r="A165" s="50" t="s">
        <v>356</v>
      </c>
      <c r="B165" s="279">
        <f>675*6*0.05565</f>
        <v>225.38249999999999</v>
      </c>
      <c r="D165" s="50" t="s">
        <v>37</v>
      </c>
      <c r="E165" s="57" t="s">
        <v>40</v>
      </c>
      <c r="F165" s="50" t="s">
        <v>29</v>
      </c>
      <c r="G165" s="56" t="s">
        <v>59</v>
      </c>
      <c r="H165" s="50" t="s">
        <v>33</v>
      </c>
      <c r="I165" s="295" t="s">
        <v>353</v>
      </c>
      <c r="J165" s="295" t="s">
        <v>357</v>
      </c>
      <c r="K165" s="296" t="s">
        <v>31</v>
      </c>
      <c r="L165" s="296" t="s">
        <v>31</v>
      </c>
      <c r="M165" s="296" t="s">
        <v>357</v>
      </c>
      <c r="N165" s="296" t="s">
        <v>358</v>
      </c>
      <c r="O165" s="50" t="s">
        <v>359</v>
      </c>
    </row>
    <row r="166" spans="1:15" ht="15.6">
      <c r="A166" s="50" t="s">
        <v>360</v>
      </c>
      <c r="B166" s="279">
        <f>675*6*0.09504</f>
        <v>384.91199999999998</v>
      </c>
      <c r="D166" s="50" t="s">
        <v>37</v>
      </c>
      <c r="E166" s="57" t="s">
        <v>40</v>
      </c>
      <c r="F166" s="50" t="s">
        <v>29</v>
      </c>
      <c r="G166" s="56" t="s">
        <v>59</v>
      </c>
      <c r="H166" s="50" t="s">
        <v>33</v>
      </c>
      <c r="I166" s="295" t="s">
        <v>353</v>
      </c>
      <c r="J166" s="295" t="s">
        <v>361</v>
      </c>
      <c r="K166" s="296" t="s">
        <v>31</v>
      </c>
      <c r="L166" s="296" t="s">
        <v>31</v>
      </c>
      <c r="M166" s="296" t="s">
        <v>361</v>
      </c>
      <c r="N166" s="296" t="s">
        <v>362</v>
      </c>
      <c r="O166" s="50" t="s">
        <v>363</v>
      </c>
    </row>
    <row r="167" spans="1:15" ht="15.6">
      <c r="A167" s="56" t="s">
        <v>347</v>
      </c>
      <c r="B167" s="279">
        <f>675*6*0.0071</f>
        <v>28.755000000000003</v>
      </c>
      <c r="D167" s="50" t="s">
        <v>37</v>
      </c>
      <c r="E167" s="57" t="s">
        <v>40</v>
      </c>
      <c r="F167" s="50" t="s">
        <v>29</v>
      </c>
      <c r="G167" s="50" t="s">
        <v>59</v>
      </c>
      <c r="H167" s="50" t="s">
        <v>33</v>
      </c>
      <c r="I167" s="295" t="s">
        <v>353</v>
      </c>
      <c r="J167" s="295" t="s">
        <v>364</v>
      </c>
      <c r="K167" s="296" t="s">
        <v>31</v>
      </c>
      <c r="L167" s="296" t="s">
        <v>31</v>
      </c>
      <c r="M167" s="296" t="s">
        <v>364</v>
      </c>
      <c r="N167" s="296" t="s">
        <v>365</v>
      </c>
      <c r="O167" s="56" t="s">
        <v>366</v>
      </c>
    </row>
    <row r="168" spans="1:15" ht="15.6">
      <c r="A168" s="297" t="s">
        <v>120</v>
      </c>
      <c r="B168" s="279">
        <f>675*6*0.2337</f>
        <v>946.48500000000001</v>
      </c>
      <c r="D168" s="50" t="s">
        <v>37</v>
      </c>
      <c r="E168" s="57" t="s">
        <v>40</v>
      </c>
      <c r="F168" s="50" t="s">
        <v>29</v>
      </c>
      <c r="G168" s="50" t="s">
        <v>59</v>
      </c>
      <c r="H168" s="50" t="s">
        <v>33</v>
      </c>
      <c r="I168" s="295" t="s">
        <v>353</v>
      </c>
      <c r="J168" s="295" t="s">
        <v>367</v>
      </c>
      <c r="K168" s="296" t="s">
        <v>31</v>
      </c>
      <c r="L168" s="296" t="s">
        <v>31</v>
      </c>
      <c r="M168" s="296" t="s">
        <v>367</v>
      </c>
      <c r="N168" s="296" t="s">
        <v>368</v>
      </c>
      <c r="O168" s="56" t="s">
        <v>369</v>
      </c>
    </row>
    <row r="169" spans="1:15" s="55" customFormat="1" ht="15.6">
      <c r="A169" s="286" t="s">
        <v>5</v>
      </c>
      <c r="B169" s="287" t="s">
        <v>370</v>
      </c>
      <c r="C169" s="287"/>
      <c r="D169" s="54"/>
      <c r="I169" s="288"/>
      <c r="J169" s="288"/>
      <c r="K169" s="288"/>
      <c r="L169" s="288"/>
      <c r="M169" s="288"/>
      <c r="N169" s="288"/>
    </row>
    <row r="170" spans="1:15">
      <c r="A170" s="50" t="s">
        <v>7</v>
      </c>
      <c r="B170" s="279" t="s">
        <v>295</v>
      </c>
    </row>
    <row r="171" spans="1:15">
      <c r="A171" s="50" t="s">
        <v>9</v>
      </c>
      <c r="B171" s="50" t="str">
        <f ca="1">UPPER(CONCATENATE(DEC2HEX(RANDBETWEEN(0,POWER(16,8)),8),DEC2HEX(RANDBETWEEN(0,POWER(16,4)),4),"4",DEC2HEX(RANDBETWEEN(0,POWER(16,3)),3),DEC2HEX(RANDBETWEEN(8,11)),DEC2HEX(RANDBETWEEN(0,POWER(16,3)),3),DEC2HEX(RANDBETWEEN(0,POWER(16,8)),8),DEC2HEX(RANDBETWEEN(0,POWER(16,4)),4)))</f>
        <v>D0B7E955300E4CAFA3DE245AE405D889</v>
      </c>
    </row>
    <row r="172" spans="1:15">
      <c r="A172" s="50" t="s">
        <v>11</v>
      </c>
      <c r="B172" s="279" t="s">
        <v>296</v>
      </c>
    </row>
    <row r="173" spans="1:15">
      <c r="A173" s="50" t="s">
        <v>13</v>
      </c>
      <c r="B173" s="279" t="s">
        <v>59</v>
      </c>
    </row>
    <row r="174" spans="1:15">
      <c r="A174" s="50" t="s">
        <v>15</v>
      </c>
      <c r="B174" s="279">
        <v>1</v>
      </c>
    </row>
    <row r="175" spans="1:15">
      <c r="A175" s="50" t="s">
        <v>16</v>
      </c>
      <c r="B175" s="279" t="s">
        <v>17</v>
      </c>
    </row>
    <row r="176" spans="1:15">
      <c r="A176" s="50" t="s">
        <v>18</v>
      </c>
      <c r="B176" s="279" t="s">
        <v>18</v>
      </c>
    </row>
    <row r="177" spans="1:15" ht="15.6">
      <c r="A177" s="52" t="s">
        <v>19</v>
      </c>
    </row>
    <row r="178" spans="1:15" ht="15.6">
      <c r="A178" s="52" t="s">
        <v>20</v>
      </c>
      <c r="B178" s="281" t="s">
        <v>21</v>
      </c>
      <c r="C178" s="281" t="s">
        <v>217</v>
      </c>
      <c r="D178" s="52" t="s">
        <v>18</v>
      </c>
      <c r="E178" s="52" t="s">
        <v>22</v>
      </c>
      <c r="F178" s="52" t="s">
        <v>7</v>
      </c>
      <c r="G178" s="52" t="s">
        <v>13</v>
      </c>
      <c r="H178" s="52" t="s">
        <v>16</v>
      </c>
      <c r="I178" s="282" t="s">
        <v>23</v>
      </c>
      <c r="J178" s="282" t="s">
        <v>24</v>
      </c>
      <c r="K178" s="282" t="s">
        <v>25</v>
      </c>
      <c r="L178" s="282" t="s">
        <v>26</v>
      </c>
      <c r="M178" s="282" t="s">
        <v>27</v>
      </c>
      <c r="N178" s="282" t="s">
        <v>28</v>
      </c>
      <c r="O178" s="52" t="s">
        <v>11</v>
      </c>
    </row>
    <row r="179" spans="1:15" ht="15.6">
      <c r="A179" s="56" t="s">
        <v>370</v>
      </c>
      <c r="B179" s="284">
        <v>1</v>
      </c>
      <c r="C179" s="284"/>
      <c r="D179" s="56" t="s">
        <v>18</v>
      </c>
      <c r="E179" s="56" t="s">
        <v>2</v>
      </c>
      <c r="F179" s="50" t="s">
        <v>295</v>
      </c>
      <c r="G179" s="56" t="s">
        <v>59</v>
      </c>
      <c r="H179" s="56" t="s">
        <v>30</v>
      </c>
      <c r="I179" s="285">
        <v>0</v>
      </c>
      <c r="J179" s="285" t="s">
        <v>31</v>
      </c>
      <c r="K179" s="285" t="s">
        <v>31</v>
      </c>
      <c r="L179" s="285" t="s">
        <v>31</v>
      </c>
      <c r="M179" s="285" t="s">
        <v>31</v>
      </c>
      <c r="N179" s="285" t="s">
        <v>31</v>
      </c>
      <c r="O179" s="56" t="s">
        <v>371</v>
      </c>
    </row>
    <row r="180" spans="1:15" ht="15.6">
      <c r="A180" s="50" t="s">
        <v>347</v>
      </c>
      <c r="B180" s="279">
        <f>6*10.766</f>
        <v>64.596000000000004</v>
      </c>
      <c r="D180" s="50" t="s">
        <v>37</v>
      </c>
      <c r="E180" s="57" t="s">
        <v>40</v>
      </c>
      <c r="F180" s="50" t="s">
        <v>29</v>
      </c>
      <c r="G180" s="50" t="s">
        <v>59</v>
      </c>
      <c r="H180" s="50" t="s">
        <v>33</v>
      </c>
      <c r="I180" s="280">
        <v>2</v>
      </c>
      <c r="J180" s="280">
        <f>LN(B180)</f>
        <v>4.1681524893668209</v>
      </c>
      <c r="K180" s="290">
        <v>3.9051247999999997E-2</v>
      </c>
      <c r="L180" s="285" t="s">
        <v>31</v>
      </c>
      <c r="M180" s="285" t="s">
        <v>31</v>
      </c>
      <c r="N180" s="285" t="s">
        <v>31</v>
      </c>
      <c r="O180" s="56" t="s">
        <v>372</v>
      </c>
    </row>
    <row r="181" spans="1:15" ht="15.6">
      <c r="A181" s="50" t="s">
        <v>344</v>
      </c>
      <c r="B181" s="284">
        <f>6*0.488</f>
        <v>2.9279999999999999</v>
      </c>
      <c r="C181" s="284"/>
      <c r="D181" s="56" t="s">
        <v>37</v>
      </c>
      <c r="E181" s="57" t="s">
        <v>40</v>
      </c>
      <c r="F181" s="50" t="s">
        <v>29</v>
      </c>
      <c r="G181" s="56" t="s">
        <v>59</v>
      </c>
      <c r="H181" s="56" t="s">
        <v>33</v>
      </c>
      <c r="I181" s="280">
        <v>2</v>
      </c>
      <c r="J181" s="280">
        <f t="shared" ref="J181:J183" si="8">LN(B181)</f>
        <v>1.074319596099065</v>
      </c>
      <c r="K181" s="290">
        <v>3.9051247999999997E-2</v>
      </c>
      <c r="L181" s="285" t="s">
        <v>31</v>
      </c>
      <c r="M181" s="285" t="s">
        <v>31</v>
      </c>
      <c r="N181" s="285" t="s">
        <v>31</v>
      </c>
      <c r="O181" s="56" t="s">
        <v>373</v>
      </c>
    </row>
    <row r="182" spans="1:15" ht="15.6">
      <c r="A182" s="50" t="s">
        <v>344</v>
      </c>
      <c r="B182" s="284">
        <f>6*2.297</f>
        <v>13.782</v>
      </c>
      <c r="C182" s="284"/>
      <c r="D182" s="56" t="s">
        <v>37</v>
      </c>
      <c r="E182" s="57" t="s">
        <v>40</v>
      </c>
      <c r="F182" s="50" t="s">
        <v>29</v>
      </c>
      <c r="G182" s="56" t="s">
        <v>59</v>
      </c>
      <c r="H182" s="56" t="s">
        <v>33</v>
      </c>
      <c r="I182" s="280">
        <v>2</v>
      </c>
      <c r="J182" s="280">
        <f t="shared" si="8"/>
        <v>2.6233633929350164</v>
      </c>
      <c r="K182" s="290">
        <v>3.9051247999999997E-2</v>
      </c>
      <c r="L182" s="285" t="s">
        <v>31</v>
      </c>
      <c r="M182" s="285" t="s">
        <v>31</v>
      </c>
      <c r="N182" s="285" t="s">
        <v>31</v>
      </c>
      <c r="O182" s="56" t="s">
        <v>374</v>
      </c>
    </row>
    <row r="183" spans="1:15" ht="15.6">
      <c r="A183" s="297" t="s">
        <v>120</v>
      </c>
      <c r="B183" s="279">
        <f>6*0.804</f>
        <v>4.8239999999999998</v>
      </c>
      <c r="D183" s="50" t="s">
        <v>37</v>
      </c>
      <c r="E183" s="57" t="s">
        <v>40</v>
      </c>
      <c r="F183" s="50" t="s">
        <v>29</v>
      </c>
      <c r="G183" s="50" t="s">
        <v>59</v>
      </c>
      <c r="H183" s="50" t="s">
        <v>33</v>
      </c>
      <c r="I183" s="280">
        <v>2</v>
      </c>
      <c r="J183" s="280">
        <f t="shared" si="8"/>
        <v>1.5736034594248842</v>
      </c>
      <c r="K183" s="290">
        <v>3.9051247999999997E-2</v>
      </c>
      <c r="L183" s="285" t="s">
        <v>31</v>
      </c>
      <c r="M183" s="285" t="s">
        <v>31</v>
      </c>
      <c r="N183" s="285" t="s">
        <v>31</v>
      </c>
      <c r="O183" s="56" t="s">
        <v>375</v>
      </c>
    </row>
    <row r="184" spans="1:15" s="55" customFormat="1" ht="15.6">
      <c r="A184" s="286" t="s">
        <v>5</v>
      </c>
      <c r="B184" s="287" t="s">
        <v>376</v>
      </c>
      <c r="C184" s="287"/>
      <c r="D184" s="54"/>
      <c r="I184" s="288"/>
      <c r="J184" s="288"/>
      <c r="K184" s="288"/>
      <c r="L184" s="288"/>
      <c r="M184" s="288"/>
      <c r="N184" s="288"/>
    </row>
    <row r="185" spans="1:15">
      <c r="A185" s="50" t="s">
        <v>7</v>
      </c>
      <c r="B185" s="279" t="s">
        <v>295</v>
      </c>
    </row>
    <row r="186" spans="1:15">
      <c r="A186" s="50" t="s">
        <v>9</v>
      </c>
      <c r="B186" s="50" t="str">
        <f ca="1">UPPER(CONCATENATE(DEC2HEX(RANDBETWEEN(0,POWER(16,8)),8),DEC2HEX(RANDBETWEEN(0,POWER(16,4)),4),"4",DEC2HEX(RANDBETWEEN(0,POWER(16,3)),3),DEC2HEX(RANDBETWEEN(8,11)),DEC2HEX(RANDBETWEEN(0,POWER(16,3)),3),DEC2HEX(RANDBETWEEN(0,POWER(16,8)),8),DEC2HEX(RANDBETWEEN(0,POWER(16,4)),4)))</f>
        <v>64F3A28A8038489C8B338086F9F7E217</v>
      </c>
    </row>
    <row r="187" spans="1:15">
      <c r="A187" s="50" t="s">
        <v>11</v>
      </c>
      <c r="B187" s="279" t="s">
        <v>296</v>
      </c>
    </row>
    <row r="188" spans="1:15">
      <c r="A188" s="50" t="s">
        <v>13</v>
      </c>
      <c r="B188" s="279" t="s">
        <v>59</v>
      </c>
    </row>
    <row r="189" spans="1:15">
      <c r="A189" s="50" t="s">
        <v>15</v>
      </c>
      <c r="B189" s="279">
        <v>1</v>
      </c>
    </row>
    <row r="190" spans="1:15">
      <c r="A190" s="50" t="s">
        <v>16</v>
      </c>
      <c r="B190" s="279" t="s">
        <v>17</v>
      </c>
    </row>
    <row r="191" spans="1:15">
      <c r="A191" s="50" t="s">
        <v>18</v>
      </c>
      <c r="B191" s="279" t="s">
        <v>18</v>
      </c>
    </row>
    <row r="192" spans="1:15" ht="15.6">
      <c r="A192" s="52" t="s">
        <v>19</v>
      </c>
    </row>
    <row r="193" spans="1:15" ht="15.6">
      <c r="A193" s="52" t="s">
        <v>20</v>
      </c>
      <c r="B193" s="281" t="s">
        <v>21</v>
      </c>
      <c r="C193" s="281" t="s">
        <v>217</v>
      </c>
      <c r="D193" s="52" t="s">
        <v>18</v>
      </c>
      <c r="E193" s="52" t="s">
        <v>22</v>
      </c>
      <c r="F193" s="52" t="s">
        <v>7</v>
      </c>
      <c r="G193" s="52" t="s">
        <v>13</v>
      </c>
      <c r="H193" s="52" t="s">
        <v>16</v>
      </c>
      <c r="I193" s="282" t="s">
        <v>23</v>
      </c>
      <c r="J193" s="282" t="s">
        <v>24</v>
      </c>
      <c r="K193" s="282" t="s">
        <v>25</v>
      </c>
      <c r="L193" s="282" t="s">
        <v>26</v>
      </c>
      <c r="M193" s="282" t="s">
        <v>27</v>
      </c>
      <c r="N193" s="282" t="s">
        <v>28</v>
      </c>
      <c r="O193" s="52" t="s">
        <v>11</v>
      </c>
    </row>
    <row r="194" spans="1:15" ht="15.6">
      <c r="A194" s="56" t="s">
        <v>376</v>
      </c>
      <c r="B194" s="284">
        <v>1</v>
      </c>
      <c r="C194" s="284"/>
      <c r="D194" s="56" t="s">
        <v>18</v>
      </c>
      <c r="E194" s="56" t="s">
        <v>2</v>
      </c>
      <c r="F194" s="50" t="s">
        <v>295</v>
      </c>
      <c r="G194" s="56" t="s">
        <v>59</v>
      </c>
      <c r="H194" s="56" t="s">
        <v>30</v>
      </c>
      <c r="I194" s="285">
        <v>0</v>
      </c>
      <c r="J194" s="285" t="s">
        <v>31</v>
      </c>
      <c r="K194" s="285" t="s">
        <v>31</v>
      </c>
      <c r="L194" s="285" t="s">
        <v>31</v>
      </c>
      <c r="M194" s="285" t="s">
        <v>31</v>
      </c>
      <c r="N194" s="285" t="s">
        <v>31</v>
      </c>
      <c r="O194" s="56" t="s">
        <v>377</v>
      </c>
    </row>
    <row r="195" spans="1:15" ht="15.6">
      <c r="A195" s="50" t="s">
        <v>351</v>
      </c>
      <c r="B195" s="298">
        <v>1</v>
      </c>
      <c r="C195" s="298"/>
      <c r="D195" s="56" t="s">
        <v>18</v>
      </c>
      <c r="E195" s="56" t="s">
        <v>2</v>
      </c>
      <c r="F195" s="56" t="s">
        <v>295</v>
      </c>
      <c r="G195" s="56" t="s">
        <v>59</v>
      </c>
      <c r="H195" s="50" t="s">
        <v>33</v>
      </c>
      <c r="I195" s="285">
        <v>0</v>
      </c>
      <c r="J195" s="285" t="s">
        <v>31</v>
      </c>
      <c r="K195" s="285" t="s">
        <v>31</v>
      </c>
      <c r="L195" s="285" t="s">
        <v>31</v>
      </c>
      <c r="M195" s="285" t="s">
        <v>31</v>
      </c>
      <c r="N195" s="285" t="s">
        <v>31</v>
      </c>
      <c r="O195" s="56"/>
    </row>
    <row r="196" spans="1:15" ht="15.6">
      <c r="A196" s="56" t="s">
        <v>378</v>
      </c>
      <c r="B196" s="279">
        <v>1</v>
      </c>
      <c r="D196" s="56" t="s">
        <v>18</v>
      </c>
      <c r="E196" s="56" t="s">
        <v>2</v>
      </c>
      <c r="F196" s="56" t="s">
        <v>295</v>
      </c>
      <c r="G196" s="50" t="s">
        <v>59</v>
      </c>
      <c r="H196" s="50" t="s">
        <v>33</v>
      </c>
      <c r="I196" s="280">
        <v>0</v>
      </c>
      <c r="J196" s="285" t="s">
        <v>31</v>
      </c>
      <c r="K196" s="285" t="s">
        <v>31</v>
      </c>
      <c r="L196" s="285" t="s">
        <v>31</v>
      </c>
      <c r="M196" s="285" t="s">
        <v>31</v>
      </c>
      <c r="N196" s="285" t="s">
        <v>31</v>
      </c>
      <c r="O196" s="56" t="s">
        <v>379</v>
      </c>
    </row>
    <row r="197" spans="1:15" ht="15.6">
      <c r="A197" s="50" t="s">
        <v>370</v>
      </c>
      <c r="B197" s="279">
        <v>1</v>
      </c>
      <c r="D197" s="50" t="s">
        <v>18</v>
      </c>
      <c r="E197" s="50" t="s">
        <v>2</v>
      </c>
      <c r="F197" s="50" t="s">
        <v>295</v>
      </c>
      <c r="G197" s="50" t="s">
        <v>59</v>
      </c>
      <c r="H197" s="50" t="s">
        <v>33</v>
      </c>
      <c r="I197" s="280">
        <v>0</v>
      </c>
      <c r="J197" s="285" t="s">
        <v>31</v>
      </c>
      <c r="K197" s="285" t="s">
        <v>31</v>
      </c>
      <c r="L197" s="285" t="s">
        <v>31</v>
      </c>
      <c r="M197" s="285" t="s">
        <v>31</v>
      </c>
      <c r="N197" s="285" t="s">
        <v>31</v>
      </c>
    </row>
    <row r="198" spans="1:15" s="55" customFormat="1" ht="15.6">
      <c r="A198" s="286" t="s">
        <v>5</v>
      </c>
      <c r="B198" s="287" t="s">
        <v>378</v>
      </c>
      <c r="C198" s="287"/>
      <c r="D198" s="54"/>
      <c r="I198" s="288"/>
      <c r="J198" s="288"/>
      <c r="K198" s="288"/>
      <c r="L198" s="288"/>
      <c r="M198" s="288"/>
      <c r="N198" s="288"/>
    </row>
    <row r="199" spans="1:15">
      <c r="A199" s="50" t="s">
        <v>7</v>
      </c>
      <c r="B199" s="279" t="s">
        <v>295</v>
      </c>
    </row>
    <row r="200" spans="1:15">
      <c r="A200" s="50" t="s">
        <v>9</v>
      </c>
      <c r="B200" s="50" t="str">
        <f ca="1">UPPER(CONCATENATE(DEC2HEX(RANDBETWEEN(0,POWER(16,8)),8),DEC2HEX(RANDBETWEEN(0,POWER(16,4)),4),"4",DEC2HEX(RANDBETWEEN(0,POWER(16,3)),3),DEC2HEX(RANDBETWEEN(8,11)),DEC2HEX(RANDBETWEEN(0,POWER(16,3)),3),DEC2HEX(RANDBETWEEN(0,POWER(16,8)),8),DEC2HEX(RANDBETWEEN(0,POWER(16,4)),4)))</f>
        <v>53BBB783107C4190843E010F462F9BA3</v>
      </c>
    </row>
    <row r="201" spans="1:15">
      <c r="A201" s="50" t="s">
        <v>11</v>
      </c>
      <c r="B201" s="279" t="s">
        <v>296</v>
      </c>
    </row>
    <row r="202" spans="1:15">
      <c r="A202" s="50" t="s">
        <v>13</v>
      </c>
      <c r="B202" s="279" t="s">
        <v>59</v>
      </c>
    </row>
    <row r="203" spans="1:15">
      <c r="A203" s="50" t="s">
        <v>15</v>
      </c>
      <c r="B203" s="279">
        <v>1</v>
      </c>
    </row>
    <row r="204" spans="1:15">
      <c r="A204" s="50" t="s">
        <v>16</v>
      </c>
      <c r="B204" s="279" t="s">
        <v>17</v>
      </c>
    </row>
    <row r="205" spans="1:15">
      <c r="A205" s="50" t="s">
        <v>18</v>
      </c>
      <c r="B205" s="279" t="s">
        <v>18</v>
      </c>
    </row>
    <row r="206" spans="1:15" ht="15.6">
      <c r="A206" s="52" t="s">
        <v>19</v>
      </c>
    </row>
    <row r="207" spans="1:15" ht="15.6">
      <c r="A207" s="52" t="s">
        <v>20</v>
      </c>
      <c r="B207" s="281" t="s">
        <v>21</v>
      </c>
      <c r="C207" s="281" t="s">
        <v>217</v>
      </c>
      <c r="D207" s="52" t="s">
        <v>18</v>
      </c>
      <c r="E207" s="52" t="s">
        <v>22</v>
      </c>
      <c r="F207" s="52" t="s">
        <v>7</v>
      </c>
      <c r="G207" s="52" t="s">
        <v>13</v>
      </c>
      <c r="H207" s="52" t="s">
        <v>16</v>
      </c>
      <c r="I207" s="282" t="s">
        <v>23</v>
      </c>
      <c r="J207" s="282" t="s">
        <v>24</v>
      </c>
      <c r="K207" s="282" t="s">
        <v>25</v>
      </c>
      <c r="L207" s="282" t="s">
        <v>26</v>
      </c>
      <c r="M207" s="282" t="s">
        <v>27</v>
      </c>
      <c r="N207" s="282" t="s">
        <v>28</v>
      </c>
      <c r="O207" s="52" t="s">
        <v>11</v>
      </c>
    </row>
    <row r="208" spans="1:15" ht="15.6">
      <c r="A208" s="56" t="s">
        <v>378</v>
      </c>
      <c r="B208" s="284">
        <v>1</v>
      </c>
      <c r="C208" s="284"/>
      <c r="D208" s="56" t="s">
        <v>18</v>
      </c>
      <c r="E208" s="56" t="s">
        <v>2</v>
      </c>
      <c r="F208" s="50" t="s">
        <v>295</v>
      </c>
      <c r="G208" s="56" t="s">
        <v>59</v>
      </c>
      <c r="H208" s="56" t="s">
        <v>30</v>
      </c>
      <c r="I208" s="285">
        <v>0</v>
      </c>
      <c r="J208" s="285" t="s">
        <v>31</v>
      </c>
      <c r="K208" s="285" t="s">
        <v>31</v>
      </c>
      <c r="L208" s="285" t="s">
        <v>31</v>
      </c>
      <c r="M208" s="285" t="s">
        <v>31</v>
      </c>
      <c r="N208" s="285" t="s">
        <v>31</v>
      </c>
      <c r="O208" s="56" t="s">
        <v>297</v>
      </c>
    </row>
    <row r="209" spans="1:15" ht="15.6">
      <c r="A209" s="57" t="s">
        <v>380</v>
      </c>
      <c r="B209" s="279">
        <f>6*5.667</f>
        <v>34.001999999999995</v>
      </c>
      <c r="D209" s="56" t="s">
        <v>37</v>
      </c>
      <c r="E209" s="57" t="s">
        <v>40</v>
      </c>
      <c r="F209" s="50" t="s">
        <v>29</v>
      </c>
      <c r="G209" s="50" t="s">
        <v>59</v>
      </c>
      <c r="H209" s="50" t="s">
        <v>33</v>
      </c>
      <c r="I209" s="280">
        <v>2</v>
      </c>
      <c r="J209" s="285">
        <f>LN(B209)</f>
        <v>3.5264193464155369</v>
      </c>
      <c r="K209" s="280">
        <v>9.4472217999999997E-2</v>
      </c>
      <c r="L209" s="285" t="s">
        <v>31</v>
      </c>
      <c r="M209" s="285" t="s">
        <v>31</v>
      </c>
      <c r="N209" s="285" t="s">
        <v>31</v>
      </c>
      <c r="O209" s="56" t="s">
        <v>379</v>
      </c>
    </row>
    <row r="210" spans="1:15" s="55" customFormat="1" ht="15.6">
      <c r="A210" s="286" t="s">
        <v>5</v>
      </c>
      <c r="B210" s="287" t="s">
        <v>381</v>
      </c>
      <c r="C210" s="287"/>
      <c r="D210" s="54"/>
      <c r="I210" s="288"/>
      <c r="J210" s="288"/>
      <c r="K210" s="288"/>
      <c r="L210" s="288"/>
      <c r="M210" s="288"/>
      <c r="N210" s="288"/>
    </row>
    <row r="211" spans="1:15">
      <c r="A211" s="50" t="s">
        <v>7</v>
      </c>
      <c r="B211" s="279" t="s">
        <v>295</v>
      </c>
    </row>
    <row r="212" spans="1:15">
      <c r="A212" s="50" t="s">
        <v>9</v>
      </c>
      <c r="B212" s="50" t="str">
        <f ca="1">UPPER(CONCATENATE(DEC2HEX(RANDBETWEEN(0,POWER(16,8)),8),DEC2HEX(RANDBETWEEN(0,POWER(16,4)),4),"4",DEC2HEX(RANDBETWEEN(0,POWER(16,3)),3),DEC2HEX(RANDBETWEEN(8,11)),DEC2HEX(RANDBETWEEN(0,POWER(16,3)),3),DEC2HEX(RANDBETWEEN(0,POWER(16,8)),8),DEC2HEX(RANDBETWEEN(0,POWER(16,4)),4)))</f>
        <v>E2D9D89EB0D64A22833CDE5FFD8908B6</v>
      </c>
    </row>
    <row r="213" spans="1:15">
      <c r="A213" s="50" t="s">
        <v>11</v>
      </c>
      <c r="B213" s="279" t="s">
        <v>296</v>
      </c>
    </row>
    <row r="214" spans="1:15">
      <c r="A214" s="50" t="s">
        <v>13</v>
      </c>
      <c r="B214" s="279" t="s">
        <v>59</v>
      </c>
    </row>
    <row r="215" spans="1:15">
      <c r="A215" s="50" t="s">
        <v>15</v>
      </c>
      <c r="B215" s="279">
        <v>1</v>
      </c>
    </row>
    <row r="216" spans="1:15">
      <c r="A216" s="50" t="s">
        <v>16</v>
      </c>
      <c r="B216" s="279" t="s">
        <v>17</v>
      </c>
    </row>
    <row r="217" spans="1:15">
      <c r="A217" s="50" t="s">
        <v>18</v>
      </c>
      <c r="B217" s="279" t="s">
        <v>18</v>
      </c>
    </row>
    <row r="218" spans="1:15" ht="15.6">
      <c r="A218" s="52" t="s">
        <v>19</v>
      </c>
    </row>
    <row r="219" spans="1:15" ht="15.6">
      <c r="A219" s="52" t="s">
        <v>20</v>
      </c>
      <c r="B219" s="281" t="s">
        <v>21</v>
      </c>
      <c r="C219" s="281" t="s">
        <v>217</v>
      </c>
      <c r="D219" s="52" t="s">
        <v>18</v>
      </c>
      <c r="E219" s="52" t="s">
        <v>22</v>
      </c>
      <c r="F219" s="52" t="s">
        <v>7</v>
      </c>
      <c r="G219" s="52" t="s">
        <v>13</v>
      </c>
      <c r="H219" s="52" t="s">
        <v>16</v>
      </c>
      <c r="I219" s="282" t="s">
        <v>23</v>
      </c>
      <c r="J219" s="282" t="s">
        <v>24</v>
      </c>
      <c r="K219" s="282" t="s">
        <v>25</v>
      </c>
      <c r="L219" s="282" t="s">
        <v>26</v>
      </c>
      <c r="M219" s="282" t="s">
        <v>27</v>
      </c>
      <c r="N219" s="282" t="s">
        <v>28</v>
      </c>
      <c r="O219" s="52" t="s">
        <v>11</v>
      </c>
    </row>
    <row r="220" spans="1:15" ht="15.6">
      <c r="A220" s="56" t="s">
        <v>381</v>
      </c>
      <c r="B220" s="284">
        <v>1</v>
      </c>
      <c r="C220" s="284"/>
      <c r="D220" s="56" t="s">
        <v>18</v>
      </c>
      <c r="E220" s="56" t="s">
        <v>2</v>
      </c>
      <c r="F220" s="50" t="s">
        <v>295</v>
      </c>
      <c r="G220" s="56" t="s">
        <v>59</v>
      </c>
      <c r="H220" s="56" t="s">
        <v>30</v>
      </c>
      <c r="I220" s="285">
        <v>0</v>
      </c>
      <c r="J220" s="285" t="s">
        <v>31</v>
      </c>
      <c r="K220" s="285" t="s">
        <v>31</v>
      </c>
      <c r="L220" s="285" t="s">
        <v>31</v>
      </c>
      <c r="M220" s="285" t="s">
        <v>31</v>
      </c>
      <c r="N220" s="285" t="s">
        <v>31</v>
      </c>
      <c r="O220" s="56" t="s">
        <v>382</v>
      </c>
    </row>
    <row r="221" spans="1:15" ht="15.6">
      <c r="A221" s="50" t="s">
        <v>347</v>
      </c>
      <c r="B221" s="279">
        <v>45.475999999999999</v>
      </c>
      <c r="D221" s="50" t="s">
        <v>37</v>
      </c>
      <c r="E221" s="57" t="s">
        <v>40</v>
      </c>
      <c r="F221" s="50" t="s">
        <v>29</v>
      </c>
      <c r="G221" s="50" t="s">
        <v>59</v>
      </c>
      <c r="H221" s="50" t="s">
        <v>33</v>
      </c>
      <c r="I221" s="280">
        <v>2</v>
      </c>
      <c r="J221" s="280">
        <f>LN(B221)</f>
        <v>3.81718471426686</v>
      </c>
      <c r="K221" s="290">
        <v>3.9051247999999997E-2</v>
      </c>
      <c r="L221" s="285" t="s">
        <v>31</v>
      </c>
      <c r="M221" s="285" t="s">
        <v>31</v>
      </c>
      <c r="N221" s="285" t="s">
        <v>31</v>
      </c>
      <c r="O221" s="56" t="s">
        <v>375</v>
      </c>
    </row>
    <row r="222" spans="1:15" ht="15.6">
      <c r="A222" s="294" t="s">
        <v>134</v>
      </c>
      <c r="B222" s="279">
        <v>2.052</v>
      </c>
      <c r="D222" s="50" t="s">
        <v>37</v>
      </c>
      <c r="E222" s="57" t="s">
        <v>40</v>
      </c>
      <c r="F222" s="50" t="s">
        <v>29</v>
      </c>
      <c r="G222" s="50" t="s">
        <v>59</v>
      </c>
      <c r="H222" s="50" t="s">
        <v>33</v>
      </c>
      <c r="I222" s="280">
        <v>2</v>
      </c>
      <c r="J222" s="280">
        <f t="shared" ref="J222:J223" si="9">LN(B222)</f>
        <v>0.71881492730852314</v>
      </c>
      <c r="K222" s="290">
        <v>3.9051247999999997E-2</v>
      </c>
      <c r="L222" s="285" t="s">
        <v>31</v>
      </c>
      <c r="M222" s="285" t="s">
        <v>31</v>
      </c>
      <c r="N222" s="285" t="s">
        <v>31</v>
      </c>
      <c r="O222" s="56" t="s">
        <v>375</v>
      </c>
    </row>
    <row r="223" spans="1:15" ht="15.6">
      <c r="A223" s="297" t="s">
        <v>120</v>
      </c>
      <c r="B223" s="279">
        <v>0.18099999999999999</v>
      </c>
      <c r="D223" s="50" t="s">
        <v>37</v>
      </c>
      <c r="E223" s="57" t="s">
        <v>40</v>
      </c>
      <c r="F223" s="50" t="s">
        <v>29</v>
      </c>
      <c r="G223" s="50" t="s">
        <v>59</v>
      </c>
      <c r="H223" s="50" t="s">
        <v>33</v>
      </c>
      <c r="I223" s="280">
        <v>2</v>
      </c>
      <c r="J223" s="280">
        <f t="shared" si="9"/>
        <v>-1.7092582477163114</v>
      </c>
      <c r="K223" s="290">
        <v>3.9051247999999997E-2</v>
      </c>
      <c r="L223" s="285" t="s">
        <v>31</v>
      </c>
      <c r="M223" s="285" t="s">
        <v>31</v>
      </c>
      <c r="N223" s="285" t="s">
        <v>31</v>
      </c>
      <c r="O223" s="56" t="s">
        <v>375</v>
      </c>
    </row>
    <row r="224" spans="1:15" s="55" customFormat="1" ht="15.6">
      <c r="A224" s="286" t="s">
        <v>5</v>
      </c>
      <c r="B224" s="287" t="s">
        <v>383</v>
      </c>
      <c r="C224" s="287"/>
      <c r="D224" s="54"/>
      <c r="I224" s="288"/>
      <c r="J224" s="288"/>
      <c r="K224" s="288"/>
      <c r="L224" s="288"/>
      <c r="M224" s="288"/>
      <c r="N224" s="288"/>
    </row>
    <row r="225" spans="1:15">
      <c r="A225" s="50" t="s">
        <v>7</v>
      </c>
      <c r="B225" s="279" t="s">
        <v>295</v>
      </c>
    </row>
    <row r="226" spans="1:15">
      <c r="A226" s="50" t="s">
        <v>9</v>
      </c>
      <c r="B226" s="50" t="str">
        <f ca="1">UPPER(CONCATENATE(DEC2HEX(RANDBETWEEN(0,POWER(16,8)),8),DEC2HEX(RANDBETWEEN(0,POWER(16,4)),4),"4",DEC2HEX(RANDBETWEEN(0,POWER(16,3)),3),DEC2HEX(RANDBETWEEN(8,11)),DEC2HEX(RANDBETWEEN(0,POWER(16,3)),3),DEC2HEX(RANDBETWEEN(0,POWER(16,8)),8),DEC2HEX(RANDBETWEEN(0,POWER(16,4)),4)))</f>
        <v>E390F65992EF4001A0236535E1EDA953</v>
      </c>
    </row>
    <row r="227" spans="1:15">
      <c r="A227" s="50" t="s">
        <v>11</v>
      </c>
      <c r="B227" s="279" t="s">
        <v>296</v>
      </c>
    </row>
    <row r="228" spans="1:15">
      <c r="A228" s="50" t="s">
        <v>13</v>
      </c>
      <c r="B228" s="279" t="s">
        <v>59</v>
      </c>
    </row>
    <row r="229" spans="1:15">
      <c r="A229" s="50" t="s">
        <v>15</v>
      </c>
      <c r="B229" s="279">
        <v>1</v>
      </c>
    </row>
    <row r="230" spans="1:15">
      <c r="A230" s="50" t="s">
        <v>16</v>
      </c>
      <c r="B230" s="279" t="s">
        <v>17</v>
      </c>
    </row>
    <row r="231" spans="1:15">
      <c r="A231" s="50" t="s">
        <v>18</v>
      </c>
      <c r="B231" s="279" t="s">
        <v>18</v>
      </c>
    </row>
    <row r="232" spans="1:15" ht="15.6">
      <c r="A232" s="52" t="s">
        <v>19</v>
      </c>
    </row>
    <row r="233" spans="1:15" ht="15.6">
      <c r="A233" s="52" t="s">
        <v>20</v>
      </c>
      <c r="B233" s="281" t="s">
        <v>21</v>
      </c>
      <c r="C233" s="281" t="s">
        <v>217</v>
      </c>
      <c r="D233" s="52" t="s">
        <v>18</v>
      </c>
      <c r="E233" s="52" t="s">
        <v>22</v>
      </c>
      <c r="F233" s="52" t="s">
        <v>7</v>
      </c>
      <c r="G233" s="52" t="s">
        <v>13</v>
      </c>
      <c r="H233" s="52" t="s">
        <v>16</v>
      </c>
      <c r="I233" s="282" t="s">
        <v>23</v>
      </c>
      <c r="J233" s="282" t="s">
        <v>24</v>
      </c>
      <c r="K233" s="282" t="s">
        <v>25</v>
      </c>
      <c r="L233" s="282" t="s">
        <v>26</v>
      </c>
      <c r="M233" s="282" t="s">
        <v>27</v>
      </c>
      <c r="N233" s="282" t="s">
        <v>28</v>
      </c>
      <c r="O233" s="52" t="s">
        <v>11</v>
      </c>
    </row>
    <row r="234" spans="1:15" ht="15.6">
      <c r="A234" s="56" t="s">
        <v>383</v>
      </c>
      <c r="B234" s="284">
        <v>1</v>
      </c>
      <c r="C234" s="284"/>
      <c r="D234" s="56" t="s">
        <v>18</v>
      </c>
      <c r="E234" s="56" t="s">
        <v>2</v>
      </c>
      <c r="F234" s="50" t="s">
        <v>295</v>
      </c>
      <c r="G234" s="56" t="s">
        <v>59</v>
      </c>
      <c r="H234" s="56" t="s">
        <v>30</v>
      </c>
      <c r="I234" s="285">
        <v>0</v>
      </c>
      <c r="J234" s="285" t="s">
        <v>31</v>
      </c>
      <c r="K234" s="285" t="s">
        <v>31</v>
      </c>
      <c r="L234" s="285" t="s">
        <v>31</v>
      </c>
      <c r="M234" s="285" t="s">
        <v>31</v>
      </c>
      <c r="N234" s="285" t="s">
        <v>31</v>
      </c>
      <c r="O234" s="56" t="s">
        <v>297</v>
      </c>
    </row>
    <row r="235" spans="1:15" ht="15.6">
      <c r="A235" s="57" t="s">
        <v>380</v>
      </c>
      <c r="B235" s="279">
        <v>11.93</v>
      </c>
      <c r="D235" s="56" t="s">
        <v>37</v>
      </c>
      <c r="E235" s="57" t="s">
        <v>40</v>
      </c>
      <c r="F235" s="50" t="s">
        <v>29</v>
      </c>
      <c r="G235" s="50" t="s">
        <v>59</v>
      </c>
      <c r="H235" s="50" t="s">
        <v>33</v>
      </c>
      <c r="I235" s="280">
        <v>2</v>
      </c>
      <c r="J235" s="280">
        <f>LN(B235)</f>
        <v>2.4790562361098245</v>
      </c>
      <c r="K235" s="280">
        <v>9.1651514000000003E-2</v>
      </c>
      <c r="L235" s="285" t="s">
        <v>31</v>
      </c>
      <c r="M235" s="285" t="s">
        <v>31</v>
      </c>
      <c r="N235" s="285" t="s">
        <v>31</v>
      </c>
      <c r="O235" s="56" t="s">
        <v>384</v>
      </c>
    </row>
    <row r="236" spans="1:15" s="55" customFormat="1" ht="15.6">
      <c r="A236" s="286" t="s">
        <v>5</v>
      </c>
      <c r="B236" s="287" t="s">
        <v>385</v>
      </c>
      <c r="C236" s="287"/>
      <c r="D236" s="54" t="s">
        <v>386</v>
      </c>
      <c r="I236" s="288"/>
      <c r="J236" s="288"/>
      <c r="K236" s="288"/>
      <c r="L236" s="288"/>
      <c r="M236" s="288"/>
      <c r="N236" s="288"/>
    </row>
    <row r="237" spans="1:15">
      <c r="A237" s="50" t="s">
        <v>7</v>
      </c>
      <c r="B237" s="279" t="s">
        <v>295</v>
      </c>
    </row>
    <row r="238" spans="1:15">
      <c r="A238" s="50" t="s">
        <v>9</v>
      </c>
      <c r="B238" s="50" t="str">
        <f ca="1">UPPER(CONCATENATE(DEC2HEX(RANDBETWEEN(0,POWER(16,8)),8),DEC2HEX(RANDBETWEEN(0,POWER(16,4)),4),"4",DEC2HEX(RANDBETWEEN(0,POWER(16,3)),3),DEC2HEX(RANDBETWEEN(8,11)),DEC2HEX(RANDBETWEEN(0,POWER(16,3)),3),DEC2HEX(RANDBETWEEN(0,POWER(16,8)),8),DEC2HEX(RANDBETWEEN(0,POWER(16,4)),4)))</f>
        <v>D95E99AB7D5C43F9B741B41DD3C676B5</v>
      </c>
    </row>
    <row r="239" spans="1:15">
      <c r="A239" s="50" t="s">
        <v>11</v>
      </c>
      <c r="B239" s="279" t="s">
        <v>296</v>
      </c>
    </row>
    <row r="240" spans="1:15">
      <c r="A240" s="50" t="s">
        <v>13</v>
      </c>
      <c r="B240" s="279" t="s">
        <v>59</v>
      </c>
    </row>
    <row r="241" spans="1:15">
      <c r="A241" s="50" t="s">
        <v>15</v>
      </c>
      <c r="B241" s="279">
        <v>1</v>
      </c>
    </row>
    <row r="242" spans="1:15">
      <c r="A242" s="50" t="s">
        <v>16</v>
      </c>
      <c r="B242" s="279" t="s">
        <v>17</v>
      </c>
    </row>
    <row r="243" spans="1:15">
      <c r="A243" s="50" t="s">
        <v>18</v>
      </c>
      <c r="B243" s="279" t="s">
        <v>18</v>
      </c>
    </row>
    <row r="244" spans="1:15" ht="15.6">
      <c r="A244" s="52" t="s">
        <v>19</v>
      </c>
    </row>
    <row r="245" spans="1:15" ht="15.6">
      <c r="A245" s="52" t="s">
        <v>20</v>
      </c>
      <c r="B245" s="281" t="s">
        <v>21</v>
      </c>
      <c r="C245" s="281" t="s">
        <v>217</v>
      </c>
      <c r="D245" s="52" t="s">
        <v>18</v>
      </c>
      <c r="E245" s="52" t="s">
        <v>22</v>
      </c>
      <c r="F245" s="52" t="s">
        <v>7</v>
      </c>
      <c r="G245" s="52" t="s">
        <v>13</v>
      </c>
      <c r="H245" s="52" t="s">
        <v>16</v>
      </c>
      <c r="I245" s="282" t="s">
        <v>23</v>
      </c>
      <c r="J245" s="282" t="s">
        <v>24</v>
      </c>
      <c r="K245" s="282" t="s">
        <v>25</v>
      </c>
      <c r="L245" s="282" t="s">
        <v>26</v>
      </c>
      <c r="M245" s="282" t="s">
        <v>27</v>
      </c>
      <c r="N245" s="282" t="s">
        <v>28</v>
      </c>
      <c r="O245" s="52" t="s">
        <v>11</v>
      </c>
    </row>
    <row r="246" spans="1:15" ht="15.6">
      <c r="A246" s="284" t="str">
        <f>B236</f>
        <v>compressor, Li-O , PEMFC-bat</v>
      </c>
      <c r="B246" s="284">
        <v>1</v>
      </c>
      <c r="C246" s="284"/>
      <c r="D246" s="56" t="s">
        <v>18</v>
      </c>
      <c r="E246" s="56" t="s">
        <v>2</v>
      </c>
      <c r="F246" s="50" t="s">
        <v>295</v>
      </c>
      <c r="G246" s="56" t="s">
        <v>59</v>
      </c>
      <c r="H246" s="56" t="s">
        <v>30</v>
      </c>
      <c r="I246" s="285">
        <v>0</v>
      </c>
      <c r="J246" s="285" t="s">
        <v>31</v>
      </c>
      <c r="K246" s="285" t="s">
        <v>31</v>
      </c>
      <c r="L246" s="285" t="s">
        <v>31</v>
      </c>
      <c r="M246" s="285" t="s">
        <v>31</v>
      </c>
      <c r="N246" s="285" t="s">
        <v>31</v>
      </c>
      <c r="O246" s="56" t="s">
        <v>387</v>
      </c>
    </row>
    <row r="247" spans="1:15" ht="15.6">
      <c r="A247" s="57" t="s">
        <v>86</v>
      </c>
      <c r="B247" s="279">
        <v>35.789000000000001</v>
      </c>
      <c r="D247" s="50" t="s">
        <v>37</v>
      </c>
      <c r="E247" s="57" t="s">
        <v>40</v>
      </c>
      <c r="F247" s="50" t="s">
        <v>29</v>
      </c>
      <c r="G247" s="56" t="s">
        <v>59</v>
      </c>
      <c r="H247" s="50" t="s">
        <v>33</v>
      </c>
      <c r="I247" s="285">
        <v>0</v>
      </c>
      <c r="J247" s="285" t="s">
        <v>31</v>
      </c>
      <c r="K247" s="285" t="s">
        <v>31</v>
      </c>
      <c r="L247" s="285" t="s">
        <v>31</v>
      </c>
      <c r="M247" s="285" t="s">
        <v>31</v>
      </c>
      <c r="N247" s="285" t="s">
        <v>31</v>
      </c>
    </row>
    <row r="248" spans="1:15" ht="15.6">
      <c r="A248" s="57" t="s">
        <v>388</v>
      </c>
      <c r="B248" s="279">
        <v>35.789000000000001</v>
      </c>
      <c r="D248" s="50" t="s">
        <v>37</v>
      </c>
      <c r="E248" s="57" t="s">
        <v>40</v>
      </c>
      <c r="F248" s="50" t="s">
        <v>29</v>
      </c>
      <c r="G248" s="56" t="s">
        <v>59</v>
      </c>
      <c r="H248" s="50" t="s">
        <v>33</v>
      </c>
      <c r="I248" s="285">
        <v>0</v>
      </c>
      <c r="J248" s="285" t="s">
        <v>31</v>
      </c>
      <c r="K248" s="285" t="s">
        <v>31</v>
      </c>
      <c r="L248" s="285" t="s">
        <v>31</v>
      </c>
      <c r="M248" s="285" t="s">
        <v>31</v>
      </c>
      <c r="N248" s="285" t="s">
        <v>31</v>
      </c>
    </row>
    <row r="249" spans="1:15" ht="15.6">
      <c r="A249" s="57" t="s">
        <v>347</v>
      </c>
      <c r="B249" s="279">
        <v>11.93</v>
      </c>
      <c r="D249" s="50" t="s">
        <v>37</v>
      </c>
      <c r="E249" s="57" t="s">
        <v>40</v>
      </c>
      <c r="F249" s="50" t="s">
        <v>29</v>
      </c>
      <c r="G249" s="56" t="s">
        <v>59</v>
      </c>
      <c r="H249" s="50" t="s">
        <v>33</v>
      </c>
      <c r="I249" s="285">
        <v>0</v>
      </c>
      <c r="J249" s="285" t="s">
        <v>31</v>
      </c>
      <c r="K249" s="285" t="s">
        <v>31</v>
      </c>
      <c r="L249" s="285" t="s">
        <v>31</v>
      </c>
      <c r="M249" s="285" t="s">
        <v>31</v>
      </c>
      <c r="N249" s="285" t="s">
        <v>31</v>
      </c>
    </row>
    <row r="250" spans="1:15" ht="15.6">
      <c r="A250" s="57" t="s">
        <v>120</v>
      </c>
      <c r="B250" s="279">
        <v>11.93</v>
      </c>
      <c r="D250" s="50" t="s">
        <v>37</v>
      </c>
      <c r="E250" s="57" t="s">
        <v>40</v>
      </c>
      <c r="F250" s="50" t="s">
        <v>29</v>
      </c>
      <c r="G250" s="56" t="s">
        <v>59</v>
      </c>
      <c r="H250" s="50" t="s">
        <v>33</v>
      </c>
      <c r="I250" s="285">
        <v>0</v>
      </c>
      <c r="J250" s="285" t="s">
        <v>31</v>
      </c>
      <c r="K250" s="285" t="s">
        <v>31</v>
      </c>
      <c r="L250" s="285" t="s">
        <v>31</v>
      </c>
      <c r="M250" s="285" t="s">
        <v>31</v>
      </c>
      <c r="N250" s="285" t="s">
        <v>31</v>
      </c>
    </row>
    <row r="251" spans="1:15" s="55" customFormat="1" ht="15.6">
      <c r="A251" s="286" t="s">
        <v>5</v>
      </c>
      <c r="B251" s="287" t="s">
        <v>389</v>
      </c>
      <c r="C251" s="287"/>
      <c r="D251" s="54" t="s">
        <v>386</v>
      </c>
      <c r="I251" s="288"/>
      <c r="J251" s="288"/>
      <c r="K251" s="288"/>
      <c r="L251" s="288"/>
      <c r="M251" s="288"/>
      <c r="N251" s="288"/>
    </row>
    <row r="252" spans="1:15">
      <c r="A252" s="50" t="s">
        <v>7</v>
      </c>
      <c r="B252" s="279" t="s">
        <v>295</v>
      </c>
    </row>
    <row r="253" spans="1:15">
      <c r="A253" s="50" t="s">
        <v>9</v>
      </c>
      <c r="B253" s="50" t="s">
        <v>390</v>
      </c>
    </row>
    <row r="254" spans="1:15">
      <c r="A254" s="50" t="s">
        <v>11</v>
      </c>
      <c r="B254" s="279" t="s">
        <v>296</v>
      </c>
    </row>
    <row r="255" spans="1:15">
      <c r="A255" s="50" t="s">
        <v>13</v>
      </c>
      <c r="B255" s="279" t="s">
        <v>59</v>
      </c>
    </row>
    <row r="256" spans="1:15">
      <c r="A256" s="50" t="s">
        <v>15</v>
      </c>
      <c r="B256" s="279">
        <v>1</v>
      </c>
    </row>
    <row r="257" spans="1:15">
      <c r="A257" s="50" t="s">
        <v>16</v>
      </c>
      <c r="B257" s="279" t="s">
        <v>17</v>
      </c>
    </row>
    <row r="258" spans="1:15">
      <c r="A258" s="50" t="s">
        <v>18</v>
      </c>
      <c r="B258" s="279" t="s">
        <v>18</v>
      </c>
    </row>
    <row r="259" spans="1:15" ht="15.6">
      <c r="A259" s="52" t="s">
        <v>19</v>
      </c>
    </row>
    <row r="260" spans="1:15" ht="15.6">
      <c r="A260" s="52" t="s">
        <v>20</v>
      </c>
      <c r="B260" s="281" t="s">
        <v>21</v>
      </c>
      <c r="C260" s="281" t="s">
        <v>217</v>
      </c>
      <c r="D260" s="52" t="s">
        <v>18</v>
      </c>
      <c r="E260" s="52" t="s">
        <v>22</v>
      </c>
      <c r="F260" s="52" t="s">
        <v>7</v>
      </c>
      <c r="G260" s="52" t="s">
        <v>13</v>
      </c>
      <c r="H260" s="52" t="s">
        <v>16</v>
      </c>
      <c r="I260" s="282" t="s">
        <v>23</v>
      </c>
      <c r="J260" s="282" t="s">
        <v>24</v>
      </c>
      <c r="K260" s="282" t="s">
        <v>25</v>
      </c>
      <c r="L260" s="282" t="s">
        <v>26</v>
      </c>
      <c r="M260" s="282" t="s">
        <v>27</v>
      </c>
      <c r="N260" s="282" t="s">
        <v>28</v>
      </c>
      <c r="O260" s="52" t="s">
        <v>11</v>
      </c>
    </row>
    <row r="261" spans="1:15" ht="15.6">
      <c r="A261" s="56" t="s">
        <v>389</v>
      </c>
      <c r="B261" s="284">
        <v>1</v>
      </c>
      <c r="C261" s="284"/>
      <c r="D261" s="56" t="s">
        <v>18</v>
      </c>
      <c r="E261" s="56" t="s">
        <v>2</v>
      </c>
      <c r="F261" s="50" t="s">
        <v>295</v>
      </c>
      <c r="G261" s="56" t="s">
        <v>59</v>
      </c>
      <c r="H261" s="56" t="s">
        <v>30</v>
      </c>
      <c r="I261" s="285">
        <v>0</v>
      </c>
      <c r="J261" s="285" t="s">
        <v>31</v>
      </c>
      <c r="K261" s="285" t="s">
        <v>31</v>
      </c>
      <c r="L261" s="285" t="s">
        <v>31</v>
      </c>
      <c r="M261" s="285" t="s">
        <v>31</v>
      </c>
      <c r="N261" s="285" t="s">
        <v>31</v>
      </c>
      <c r="O261" s="56" t="s">
        <v>391</v>
      </c>
    </row>
    <row r="262" spans="1:15" ht="15.6">
      <c r="A262" s="57" t="s">
        <v>376</v>
      </c>
      <c r="B262" s="279">
        <v>1</v>
      </c>
      <c r="D262" s="50" t="s">
        <v>18</v>
      </c>
      <c r="E262" s="50" t="s">
        <v>2</v>
      </c>
      <c r="F262" s="50" t="s">
        <v>295</v>
      </c>
      <c r="G262" s="50" t="s">
        <v>59</v>
      </c>
      <c r="H262" s="50" t="s">
        <v>33</v>
      </c>
      <c r="I262" s="285">
        <v>0</v>
      </c>
      <c r="J262" s="285" t="s">
        <v>31</v>
      </c>
      <c r="K262" s="285" t="s">
        <v>31</v>
      </c>
      <c r="L262" s="285" t="s">
        <v>31</v>
      </c>
      <c r="M262" s="285" t="s">
        <v>31</v>
      </c>
      <c r="N262" s="285" t="s">
        <v>31</v>
      </c>
    </row>
    <row r="263" spans="1:15" ht="15.6">
      <c r="A263" s="56" t="s">
        <v>383</v>
      </c>
      <c r="B263" s="284">
        <v>1</v>
      </c>
      <c r="C263" s="284"/>
      <c r="D263" s="56" t="s">
        <v>18</v>
      </c>
      <c r="E263" s="56" t="s">
        <v>2</v>
      </c>
      <c r="F263" s="50" t="s">
        <v>295</v>
      </c>
      <c r="G263" s="56" t="s">
        <v>59</v>
      </c>
      <c r="H263" s="50" t="s">
        <v>33</v>
      </c>
      <c r="I263" s="285">
        <v>0</v>
      </c>
      <c r="J263" s="285" t="s">
        <v>31</v>
      </c>
      <c r="K263" s="285" t="s">
        <v>31</v>
      </c>
      <c r="L263" s="285" t="s">
        <v>31</v>
      </c>
      <c r="M263" s="285" t="s">
        <v>31</v>
      </c>
      <c r="N263" s="285" t="s">
        <v>31</v>
      </c>
      <c r="O263" s="56"/>
    </row>
    <row r="264" spans="1:15" ht="15.6">
      <c r="A264" s="57" t="s">
        <v>381</v>
      </c>
      <c r="B264" s="279">
        <v>1</v>
      </c>
      <c r="D264" s="56" t="s">
        <v>18</v>
      </c>
      <c r="E264" s="56" t="s">
        <v>2</v>
      </c>
      <c r="F264" s="56" t="s">
        <v>295</v>
      </c>
      <c r="G264" s="56" t="s">
        <v>59</v>
      </c>
      <c r="H264" s="50" t="s">
        <v>33</v>
      </c>
      <c r="I264" s="285">
        <v>0</v>
      </c>
      <c r="J264" s="285" t="s">
        <v>31</v>
      </c>
      <c r="K264" s="285" t="s">
        <v>31</v>
      </c>
      <c r="L264" s="285" t="s">
        <v>31</v>
      </c>
      <c r="M264" s="285" t="s">
        <v>31</v>
      </c>
      <c r="N264" s="285" t="s">
        <v>31</v>
      </c>
    </row>
    <row r="265" spans="1:15" ht="15.6">
      <c r="A265" s="57" t="s">
        <v>385</v>
      </c>
      <c r="B265" s="279">
        <v>1</v>
      </c>
      <c r="D265" s="56" t="s">
        <v>18</v>
      </c>
      <c r="E265" s="56" t="s">
        <v>2</v>
      </c>
      <c r="F265" s="56" t="s">
        <v>295</v>
      </c>
      <c r="G265" s="56" t="s">
        <v>59</v>
      </c>
      <c r="H265" s="50" t="s">
        <v>33</v>
      </c>
      <c r="I265" s="285">
        <v>0</v>
      </c>
      <c r="J265" s="285" t="s">
        <v>31</v>
      </c>
      <c r="K265" s="285" t="s">
        <v>31</v>
      </c>
      <c r="L265" s="285" t="s">
        <v>31</v>
      </c>
      <c r="M265" s="285" t="s">
        <v>31</v>
      </c>
      <c r="N265" s="285" t="s">
        <v>31</v>
      </c>
    </row>
    <row r="266" spans="1:15" ht="15.6">
      <c r="E266" s="57"/>
      <c r="J266" s="285"/>
      <c r="L266" s="285"/>
      <c r="M266" s="285"/>
      <c r="N266" s="285"/>
    </row>
    <row r="267" spans="1:15">
      <c r="E267" s="57"/>
      <c r="O267" s="280"/>
    </row>
    <row r="276" spans="2:2">
      <c r="B276" s="299"/>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77E9F-AB4E-4139-BA16-14E8AE48C895}">
  <dimension ref="A1:T130"/>
  <sheetViews>
    <sheetView topLeftCell="A79" zoomScale="70" zoomScaleNormal="70" workbookViewId="0">
      <selection activeCell="T79" sqref="T1:T1048576"/>
    </sheetView>
  </sheetViews>
  <sheetFormatPr defaultColWidth="8.7109375" defaultRowHeight="14.45"/>
  <cols>
    <col min="1" max="1" width="54.42578125" style="50" customWidth="1"/>
    <col min="2" max="2" width="13.5703125" style="50" customWidth="1"/>
    <col min="3" max="3" width="19.85546875" style="50" customWidth="1"/>
    <col min="4" max="4" width="10.140625" style="50" customWidth="1"/>
    <col min="5" max="5" width="31" style="50" bestFit="1" customWidth="1"/>
    <col min="6" max="6" width="25.5703125" style="50" customWidth="1"/>
    <col min="7" max="14" width="8.7109375" style="50"/>
    <col min="15" max="15" width="40.140625" style="50" bestFit="1" customWidth="1"/>
    <col min="16" max="16384" width="8.7109375" style="50"/>
  </cols>
  <sheetData>
    <row r="1" spans="1:20">
      <c r="A1" s="50" t="s">
        <v>0</v>
      </c>
      <c r="B1" s="50">
        <v>15</v>
      </c>
      <c r="D1" s="51" t="s">
        <v>212</v>
      </c>
    </row>
    <row r="2" spans="1:20" s="55" customFormat="1" ht="15.6">
      <c r="A2" s="286" t="s">
        <v>5</v>
      </c>
      <c r="B2" s="53" t="s">
        <v>392</v>
      </c>
      <c r="C2" s="53"/>
      <c r="D2" s="54" t="s">
        <v>386</v>
      </c>
    </row>
    <row r="3" spans="1:20">
      <c r="A3" s="50" t="s">
        <v>7</v>
      </c>
      <c r="B3" s="50" t="s">
        <v>295</v>
      </c>
    </row>
    <row r="4" spans="1:20">
      <c r="A4" s="50" t="s">
        <v>9</v>
      </c>
      <c r="B4" s="50" t="s">
        <v>393</v>
      </c>
    </row>
    <row r="5" spans="1:20">
      <c r="A5" s="50" t="s">
        <v>11</v>
      </c>
      <c r="B5" s="50" t="s">
        <v>394</v>
      </c>
    </row>
    <row r="6" spans="1:20">
      <c r="A6" s="50" t="s">
        <v>13</v>
      </c>
      <c r="B6" s="50" t="s">
        <v>35</v>
      </c>
    </row>
    <row r="7" spans="1:20">
      <c r="A7" s="50" t="s">
        <v>15</v>
      </c>
      <c r="B7" s="50">
        <v>1</v>
      </c>
    </row>
    <row r="8" spans="1:20">
      <c r="A8" s="50" t="s">
        <v>16</v>
      </c>
      <c r="B8" s="50" t="s">
        <v>17</v>
      </c>
    </row>
    <row r="9" spans="1:20">
      <c r="A9" s="50" t="s">
        <v>18</v>
      </c>
      <c r="B9" s="50" t="s">
        <v>18</v>
      </c>
      <c r="E9" s="50" t="s">
        <v>235</v>
      </c>
    </row>
    <row r="10" spans="1:20" ht="15.6">
      <c r="A10" s="52" t="s">
        <v>19</v>
      </c>
    </row>
    <row r="11" spans="1:20" ht="15.6">
      <c r="A11" s="52" t="s">
        <v>20</v>
      </c>
      <c r="B11" s="52" t="s">
        <v>21</v>
      </c>
      <c r="C11" s="52" t="s">
        <v>217</v>
      </c>
      <c r="D11" s="52" t="s">
        <v>18</v>
      </c>
      <c r="E11" s="52" t="s">
        <v>22</v>
      </c>
      <c r="F11" s="52" t="s">
        <v>7</v>
      </c>
      <c r="G11" s="52" t="s">
        <v>13</v>
      </c>
      <c r="H11" s="52" t="s">
        <v>16</v>
      </c>
      <c r="I11" s="52" t="s">
        <v>23</v>
      </c>
      <c r="J11" s="52" t="s">
        <v>24</v>
      </c>
      <c r="K11" s="52" t="s">
        <v>25</v>
      </c>
      <c r="L11" s="52" t="s">
        <v>26</v>
      </c>
      <c r="M11" s="52" t="s">
        <v>27</v>
      </c>
      <c r="N11" s="52" t="s">
        <v>28</v>
      </c>
      <c r="O11" s="52" t="s">
        <v>11</v>
      </c>
    </row>
    <row r="12" spans="1:20" ht="15.6">
      <c r="A12" s="56" t="str">
        <f>B2</f>
        <v>BMS treatment, PEMFC-bat</v>
      </c>
      <c r="B12" s="50">
        <v>1</v>
      </c>
      <c r="D12" s="50" t="s">
        <v>18</v>
      </c>
      <c r="E12" s="56" t="s">
        <v>2</v>
      </c>
      <c r="F12" s="50" t="s">
        <v>295</v>
      </c>
      <c r="G12" s="50" t="s">
        <v>35</v>
      </c>
      <c r="H12" s="50" t="s">
        <v>30</v>
      </c>
      <c r="I12" s="50">
        <v>2</v>
      </c>
      <c r="J12" s="56">
        <f>LN(B12)</f>
        <v>0</v>
      </c>
      <c r="K12" s="50">
        <v>0.22051077071199943</v>
      </c>
      <c r="L12" s="56" t="s">
        <v>31</v>
      </c>
      <c r="M12" s="56" t="s">
        <v>31</v>
      </c>
      <c r="N12" s="56" t="s">
        <v>31</v>
      </c>
      <c r="O12" s="56"/>
    </row>
    <row r="13" spans="1:20" ht="15.6">
      <c r="A13" s="50" t="s">
        <v>395</v>
      </c>
      <c r="B13" s="50">
        <f>-11.93</f>
        <v>-11.93</v>
      </c>
      <c r="D13" s="50" t="s">
        <v>37</v>
      </c>
      <c r="E13" s="57" t="s">
        <v>40</v>
      </c>
      <c r="F13" s="50" t="s">
        <v>29</v>
      </c>
      <c r="G13" s="50" t="s">
        <v>35</v>
      </c>
      <c r="H13" s="50" t="s">
        <v>33</v>
      </c>
      <c r="I13" s="50">
        <v>0</v>
      </c>
      <c r="J13" s="56" t="s">
        <v>31</v>
      </c>
      <c r="K13" s="56" t="s">
        <v>31</v>
      </c>
      <c r="L13" s="56" t="s">
        <v>31</v>
      </c>
      <c r="M13" s="56" t="s">
        <v>31</v>
      </c>
      <c r="N13" s="56" t="s">
        <v>31</v>
      </c>
      <c r="O13" s="50" t="s">
        <v>396</v>
      </c>
    </row>
    <row r="14" spans="1:20" s="55" customFormat="1" ht="15.6">
      <c r="A14" s="286" t="s">
        <v>5</v>
      </c>
      <c r="B14" s="53" t="s">
        <v>397</v>
      </c>
      <c r="C14" s="53"/>
      <c r="D14" s="54" t="s">
        <v>386</v>
      </c>
      <c r="T14" s="50"/>
    </row>
    <row r="15" spans="1:20">
      <c r="A15" s="50" t="s">
        <v>7</v>
      </c>
      <c r="B15" s="50" t="s">
        <v>295</v>
      </c>
    </row>
    <row r="16" spans="1:20">
      <c r="A16" s="50" t="s">
        <v>9</v>
      </c>
      <c r="B16" s="50" t="s">
        <v>398</v>
      </c>
    </row>
    <row r="17" spans="1:20">
      <c r="A17" s="50" t="s">
        <v>11</v>
      </c>
      <c r="B17" s="50" t="s">
        <v>394</v>
      </c>
    </row>
    <row r="18" spans="1:20">
      <c r="A18" s="50" t="s">
        <v>13</v>
      </c>
      <c r="B18" s="50" t="s">
        <v>59</v>
      </c>
    </row>
    <row r="19" spans="1:20">
      <c r="A19" s="50" t="s">
        <v>15</v>
      </c>
      <c r="B19" s="50">
        <v>1</v>
      </c>
    </row>
    <row r="20" spans="1:20">
      <c r="A20" s="50" t="s">
        <v>16</v>
      </c>
      <c r="B20" s="50" t="s">
        <v>17</v>
      </c>
    </row>
    <row r="21" spans="1:20">
      <c r="A21" s="50" t="s">
        <v>18</v>
      </c>
      <c r="B21" s="50" t="s">
        <v>18</v>
      </c>
      <c r="E21" s="50" t="s">
        <v>235</v>
      </c>
    </row>
    <row r="22" spans="1:20" ht="15.6">
      <c r="A22" s="52" t="s">
        <v>19</v>
      </c>
    </row>
    <row r="23" spans="1:20" ht="15.6">
      <c r="A23" s="52" t="s">
        <v>20</v>
      </c>
      <c r="B23" s="52" t="s">
        <v>21</v>
      </c>
      <c r="C23" s="52" t="s">
        <v>217</v>
      </c>
      <c r="D23" s="52" t="s">
        <v>18</v>
      </c>
      <c r="E23" s="52" t="s">
        <v>22</v>
      </c>
      <c r="F23" s="52" t="s">
        <v>7</v>
      </c>
      <c r="G23" s="52" t="s">
        <v>13</v>
      </c>
      <c r="H23" s="52" t="s">
        <v>16</v>
      </c>
      <c r="I23" s="52" t="s">
        <v>23</v>
      </c>
      <c r="J23" s="52" t="s">
        <v>24</v>
      </c>
      <c r="K23" s="52" t="s">
        <v>25</v>
      </c>
      <c r="L23" s="52" t="s">
        <v>26</v>
      </c>
      <c r="M23" s="52" t="s">
        <v>27</v>
      </c>
      <c r="N23" s="52" t="s">
        <v>28</v>
      </c>
      <c r="O23" s="52" t="s">
        <v>11</v>
      </c>
    </row>
    <row r="24" spans="1:20" ht="15.6">
      <c r="A24" s="56" t="str">
        <f>B14</f>
        <v>casing scrap treatment, PEMFC-bat</v>
      </c>
      <c r="B24" s="50">
        <v>1</v>
      </c>
      <c r="D24" s="50" t="s">
        <v>18</v>
      </c>
      <c r="E24" s="56" t="s">
        <v>2</v>
      </c>
      <c r="F24" s="50" t="s">
        <v>295</v>
      </c>
      <c r="G24" s="50" t="s">
        <v>59</v>
      </c>
      <c r="H24" s="50" t="s">
        <v>30</v>
      </c>
      <c r="I24" s="50">
        <v>0</v>
      </c>
      <c r="J24" s="56" t="s">
        <v>31</v>
      </c>
      <c r="K24" s="56" t="s">
        <v>31</v>
      </c>
      <c r="L24" s="56" t="s">
        <v>31</v>
      </c>
      <c r="M24" s="56" t="s">
        <v>31</v>
      </c>
      <c r="N24" s="56" t="s">
        <v>31</v>
      </c>
      <c r="O24" s="56" t="s">
        <v>399</v>
      </c>
    </row>
    <row r="25" spans="1:20" ht="15.6">
      <c r="A25" s="50" t="s">
        <v>263</v>
      </c>
      <c r="B25" s="50">
        <v>45.477159999999998</v>
      </c>
      <c r="D25" s="50" t="s">
        <v>37</v>
      </c>
      <c r="E25" s="57" t="s">
        <v>40</v>
      </c>
      <c r="F25" s="50" t="s">
        <v>29</v>
      </c>
      <c r="G25" s="50" t="s">
        <v>35</v>
      </c>
      <c r="H25" s="50" t="s">
        <v>33</v>
      </c>
      <c r="I25" s="50">
        <v>2</v>
      </c>
      <c r="J25" s="56">
        <f>LN(B25)</f>
        <v>3.8172102219017803</v>
      </c>
      <c r="K25" s="50">
        <v>0.22051077071199943</v>
      </c>
      <c r="L25" s="56" t="s">
        <v>31</v>
      </c>
      <c r="M25" s="56" t="s">
        <v>31</v>
      </c>
      <c r="N25" s="56" t="s">
        <v>31</v>
      </c>
      <c r="O25" s="50" t="s">
        <v>400</v>
      </c>
    </row>
    <row r="26" spans="1:20" ht="15.6">
      <c r="A26" s="50" t="s">
        <v>265</v>
      </c>
      <c r="B26" s="50">
        <v>45.477159999999998</v>
      </c>
      <c r="C26" s="59" t="s">
        <v>266</v>
      </c>
      <c r="D26" s="50" t="s">
        <v>37</v>
      </c>
      <c r="E26" s="57" t="s">
        <v>40</v>
      </c>
      <c r="F26" s="50" t="s">
        <v>29</v>
      </c>
      <c r="G26" s="50" t="s">
        <v>35</v>
      </c>
      <c r="H26" s="50" t="s">
        <v>33</v>
      </c>
      <c r="I26" s="50">
        <v>2</v>
      </c>
      <c r="J26" s="56">
        <f>LN(B26)</f>
        <v>3.8172102219017803</v>
      </c>
      <c r="K26" s="50">
        <v>0.22051077071199943</v>
      </c>
      <c r="L26" s="56" t="s">
        <v>31</v>
      </c>
      <c r="M26" s="56" t="s">
        <v>31</v>
      </c>
      <c r="N26" s="56" t="s">
        <v>31</v>
      </c>
      <c r="O26" s="50" t="s">
        <v>401</v>
      </c>
    </row>
    <row r="27" spans="1:20" ht="15.6">
      <c r="A27" s="50" t="s">
        <v>347</v>
      </c>
      <c r="B27" s="50">
        <f>0.95*B26</f>
        <v>43.203301999999994</v>
      </c>
      <c r="D27" s="50" t="s">
        <v>37</v>
      </c>
      <c r="E27" s="57" t="s">
        <v>40</v>
      </c>
      <c r="F27" s="50" t="s">
        <v>29</v>
      </c>
      <c r="G27" s="50" t="s">
        <v>59</v>
      </c>
      <c r="H27" s="50" t="s">
        <v>136</v>
      </c>
      <c r="I27" s="50">
        <v>2</v>
      </c>
      <c r="J27" s="56">
        <f>LN(B27)</f>
        <v>3.7659169275142297</v>
      </c>
      <c r="K27" s="50">
        <v>0.22051077071199943</v>
      </c>
      <c r="L27" s="50" t="s">
        <v>31</v>
      </c>
      <c r="M27" s="50" t="s">
        <v>31</v>
      </c>
      <c r="N27" s="50" t="s">
        <v>31</v>
      </c>
      <c r="O27" s="50" t="s">
        <v>402</v>
      </c>
    </row>
    <row r="28" spans="1:20">
      <c r="A28" s="50" t="s">
        <v>403</v>
      </c>
      <c r="B28" s="50">
        <f>-(0.19088+2.05196+0.05*47.72)</f>
        <v>-4.6288400000000003</v>
      </c>
      <c r="D28" s="50" t="s">
        <v>37</v>
      </c>
      <c r="E28" s="57" t="s">
        <v>40</v>
      </c>
      <c r="F28" s="50" t="s">
        <v>29</v>
      </c>
      <c r="G28" s="50" t="s">
        <v>59</v>
      </c>
      <c r="H28" s="50" t="s">
        <v>33</v>
      </c>
      <c r="I28" s="50">
        <v>0</v>
      </c>
      <c r="J28" s="50" t="s">
        <v>31</v>
      </c>
      <c r="K28" s="50" t="s">
        <v>31</v>
      </c>
      <c r="L28" s="50" t="s">
        <v>31</v>
      </c>
      <c r="M28" s="50" t="s">
        <v>31</v>
      </c>
      <c r="N28" s="50" t="s">
        <v>31</v>
      </c>
      <c r="O28" s="50" t="s">
        <v>404</v>
      </c>
    </row>
    <row r="29" spans="1:20" s="55" customFormat="1" ht="15.6">
      <c r="A29" s="286" t="s">
        <v>5</v>
      </c>
      <c r="B29" s="53" t="s">
        <v>405</v>
      </c>
      <c r="C29" s="53"/>
      <c r="D29" s="54" t="s">
        <v>386</v>
      </c>
      <c r="T29" s="50"/>
    </row>
    <row r="30" spans="1:20">
      <c r="A30" s="50" t="s">
        <v>7</v>
      </c>
      <c r="B30" s="50" t="s">
        <v>295</v>
      </c>
    </row>
    <row r="31" spans="1:20">
      <c r="A31" s="50" t="s">
        <v>9</v>
      </c>
      <c r="B31" s="50" t="s">
        <v>406</v>
      </c>
    </row>
    <row r="32" spans="1:20">
      <c r="A32" s="50" t="s">
        <v>11</v>
      </c>
      <c r="B32" s="50" t="s">
        <v>394</v>
      </c>
    </row>
    <row r="33" spans="1:20">
      <c r="A33" s="50" t="s">
        <v>13</v>
      </c>
      <c r="B33" s="50" t="s">
        <v>35</v>
      </c>
    </row>
    <row r="34" spans="1:20">
      <c r="A34" s="50" t="s">
        <v>15</v>
      </c>
      <c r="B34" s="50">
        <v>1</v>
      </c>
    </row>
    <row r="35" spans="1:20">
      <c r="A35" s="50" t="s">
        <v>16</v>
      </c>
      <c r="B35" s="50" t="s">
        <v>17</v>
      </c>
    </row>
    <row r="36" spans="1:20">
      <c r="A36" s="50" t="s">
        <v>18</v>
      </c>
      <c r="B36" s="50" t="s">
        <v>18</v>
      </c>
      <c r="E36" s="50" t="s">
        <v>235</v>
      </c>
    </row>
    <row r="37" spans="1:20" ht="15.6">
      <c r="A37" s="52" t="s">
        <v>19</v>
      </c>
    </row>
    <row r="38" spans="1:20" ht="15.6">
      <c r="A38" s="52" t="s">
        <v>20</v>
      </c>
      <c r="B38" s="52" t="s">
        <v>21</v>
      </c>
      <c r="C38" s="52" t="s">
        <v>217</v>
      </c>
      <c r="D38" s="52" t="s">
        <v>18</v>
      </c>
      <c r="E38" s="52" t="s">
        <v>22</v>
      </c>
      <c r="F38" s="52" t="s">
        <v>7</v>
      </c>
      <c r="G38" s="52" t="s">
        <v>13</v>
      </c>
      <c r="H38" s="52" t="s">
        <v>16</v>
      </c>
      <c r="I38" s="52" t="s">
        <v>23</v>
      </c>
      <c r="J38" s="52" t="s">
        <v>24</v>
      </c>
      <c r="K38" s="52" t="s">
        <v>25</v>
      </c>
      <c r="L38" s="52" t="s">
        <v>26</v>
      </c>
      <c r="M38" s="52" t="s">
        <v>27</v>
      </c>
      <c r="N38" s="52" t="s">
        <v>28</v>
      </c>
      <c r="O38" s="52" t="s">
        <v>11</v>
      </c>
    </row>
    <row r="39" spans="1:20" ht="15.6">
      <c r="A39" s="56" t="str">
        <f>B29</f>
        <v>packaging treatment, PEMFC-bat</v>
      </c>
      <c r="B39" s="50">
        <v>1</v>
      </c>
      <c r="D39" s="50" t="s">
        <v>18</v>
      </c>
      <c r="E39" s="56" t="s">
        <v>2</v>
      </c>
      <c r="F39" s="50" t="s">
        <v>295</v>
      </c>
      <c r="G39" s="50" t="s">
        <v>35</v>
      </c>
      <c r="H39" s="50" t="s">
        <v>30</v>
      </c>
      <c r="I39" s="50">
        <v>0</v>
      </c>
      <c r="J39" s="56" t="s">
        <v>31</v>
      </c>
      <c r="K39" s="56" t="s">
        <v>31</v>
      </c>
      <c r="L39" s="56" t="s">
        <v>31</v>
      </c>
      <c r="M39" s="56" t="s">
        <v>31</v>
      </c>
      <c r="N39" s="56" t="s">
        <v>31</v>
      </c>
      <c r="O39" s="56" t="s">
        <v>297</v>
      </c>
    </row>
    <row r="40" spans="1:20">
      <c r="A40" s="50" t="s">
        <v>407</v>
      </c>
      <c r="B40" s="50">
        <v>-35.92</v>
      </c>
      <c r="D40" s="50" t="s">
        <v>37</v>
      </c>
      <c r="E40" s="57" t="s">
        <v>40</v>
      </c>
      <c r="F40" s="50" t="s">
        <v>29</v>
      </c>
      <c r="G40" s="50" t="s">
        <v>408</v>
      </c>
      <c r="H40" s="50" t="s">
        <v>33</v>
      </c>
      <c r="I40" s="50">
        <v>5</v>
      </c>
      <c r="J40" s="50">
        <f>B40</f>
        <v>-35.92</v>
      </c>
      <c r="K40" s="50" t="s">
        <v>31</v>
      </c>
      <c r="L40" s="50" t="s">
        <v>31</v>
      </c>
      <c r="M40" s="50">
        <f>J40*1.05</f>
        <v>-37.716000000000001</v>
      </c>
      <c r="N40" s="50">
        <f>J40*0.95</f>
        <v>-34.124000000000002</v>
      </c>
      <c r="O40" s="50" t="s">
        <v>409</v>
      </c>
    </row>
    <row r="41" spans="1:20">
      <c r="A41" s="50" t="s">
        <v>70</v>
      </c>
      <c r="B41" s="50">
        <f>-2.23*B40/2</f>
        <v>40.050800000000002</v>
      </c>
      <c r="D41" s="50" t="s">
        <v>71</v>
      </c>
      <c r="E41" s="57" t="s">
        <v>40</v>
      </c>
      <c r="F41" s="50" t="s">
        <v>29</v>
      </c>
      <c r="G41" s="50" t="s">
        <v>59</v>
      </c>
      <c r="H41" s="50" t="s">
        <v>136</v>
      </c>
      <c r="I41" s="50">
        <v>5</v>
      </c>
      <c r="J41" s="50">
        <f t="shared" ref="J41:J46" si="0">B41</f>
        <v>40.050800000000002</v>
      </c>
      <c r="K41" s="50" t="s">
        <v>31</v>
      </c>
      <c r="L41" s="50" t="s">
        <v>31</v>
      </c>
      <c r="M41" s="50">
        <f t="shared" ref="M41:M46" si="1">J41*(0.95)</f>
        <v>38.048259999999999</v>
      </c>
      <c r="N41" s="50">
        <f t="shared" ref="N41:N46" si="2">J41*1.05</f>
        <v>42.053340000000006</v>
      </c>
      <c r="O41" s="50" t="s">
        <v>410</v>
      </c>
    </row>
    <row r="42" spans="1:20">
      <c r="A42" s="50" t="s">
        <v>38</v>
      </c>
      <c r="B42" s="50">
        <f>-1.55*B40/2</f>
        <v>27.838000000000001</v>
      </c>
      <c r="D42" s="50" t="s">
        <v>39</v>
      </c>
      <c r="E42" s="57" t="s">
        <v>40</v>
      </c>
      <c r="F42" s="50" t="s">
        <v>29</v>
      </c>
      <c r="G42" s="50" t="s">
        <v>14</v>
      </c>
      <c r="H42" s="50" t="s">
        <v>136</v>
      </c>
      <c r="I42" s="50">
        <v>5</v>
      </c>
      <c r="J42" s="50">
        <f t="shared" si="0"/>
        <v>27.838000000000001</v>
      </c>
      <c r="K42" s="50" t="s">
        <v>31</v>
      </c>
      <c r="L42" s="50" t="s">
        <v>31</v>
      </c>
      <c r="M42" s="50">
        <f t="shared" si="1"/>
        <v>26.446100000000001</v>
      </c>
      <c r="N42" s="50">
        <f t="shared" si="2"/>
        <v>29.229900000000001</v>
      </c>
      <c r="O42" s="50" t="s">
        <v>411</v>
      </c>
    </row>
    <row r="43" spans="1:20">
      <c r="A43" s="50" t="s">
        <v>412</v>
      </c>
      <c r="B43" s="50">
        <f>-B73</f>
        <v>-0.3</v>
      </c>
      <c r="D43" s="50" t="s">
        <v>37</v>
      </c>
      <c r="E43" s="57" t="s">
        <v>40</v>
      </c>
      <c r="F43" s="50" t="s">
        <v>29</v>
      </c>
      <c r="G43" s="50" t="s">
        <v>408</v>
      </c>
      <c r="H43" s="50" t="s">
        <v>33</v>
      </c>
      <c r="I43" s="50">
        <v>5</v>
      </c>
      <c r="J43" s="50">
        <f t="shared" si="0"/>
        <v>-0.3</v>
      </c>
      <c r="K43" s="50" t="s">
        <v>31</v>
      </c>
      <c r="L43" s="50" t="s">
        <v>31</v>
      </c>
      <c r="M43" s="50">
        <f>J43*1.05</f>
        <v>-0.315</v>
      </c>
      <c r="N43" s="50">
        <f>J43*0.95</f>
        <v>-0.28499999999999998</v>
      </c>
      <c r="O43" s="50" t="s">
        <v>413</v>
      </c>
    </row>
    <row r="44" spans="1:20">
      <c r="A44" s="50" t="s">
        <v>412</v>
      </c>
      <c r="B44" s="50">
        <f>-B74</f>
        <v>-0.33500000000000002</v>
      </c>
      <c r="D44" s="50" t="s">
        <v>37</v>
      </c>
      <c r="E44" s="57" t="s">
        <v>40</v>
      </c>
      <c r="F44" s="50" t="s">
        <v>29</v>
      </c>
      <c r="G44" s="50" t="s">
        <v>408</v>
      </c>
      <c r="H44" s="50" t="s">
        <v>33</v>
      </c>
      <c r="I44" s="50">
        <v>5</v>
      </c>
      <c r="J44" s="50">
        <f t="shared" si="0"/>
        <v>-0.33500000000000002</v>
      </c>
      <c r="K44" s="50" t="s">
        <v>31</v>
      </c>
      <c r="L44" s="50" t="s">
        <v>31</v>
      </c>
      <c r="M44" s="50">
        <f>J44*1.05</f>
        <v>-0.35175000000000006</v>
      </c>
      <c r="N44" s="50">
        <f>J44*0.95</f>
        <v>-0.31824999999999998</v>
      </c>
      <c r="O44" s="50" t="s">
        <v>413</v>
      </c>
    </row>
    <row r="45" spans="1:20">
      <c r="A45" s="50" t="s">
        <v>38</v>
      </c>
      <c r="B45" s="50">
        <f>-1.54*(B44+B43)/2</f>
        <v>0.48895</v>
      </c>
      <c r="D45" s="50" t="s">
        <v>39</v>
      </c>
      <c r="E45" s="57" t="s">
        <v>40</v>
      </c>
      <c r="F45" s="50" t="s">
        <v>29</v>
      </c>
      <c r="G45" s="50" t="s">
        <v>14</v>
      </c>
      <c r="H45" s="50" t="s">
        <v>136</v>
      </c>
      <c r="I45" s="50">
        <v>5</v>
      </c>
      <c r="J45" s="50">
        <f t="shared" si="0"/>
        <v>0.48895</v>
      </c>
      <c r="K45" s="50" t="s">
        <v>31</v>
      </c>
      <c r="L45" s="50" t="s">
        <v>31</v>
      </c>
      <c r="M45" s="50">
        <f>J45*(0.95)</f>
        <v>0.46450249999999998</v>
      </c>
      <c r="N45" s="50">
        <f t="shared" si="2"/>
        <v>0.51339750000000006</v>
      </c>
      <c r="O45" s="50" t="s">
        <v>414</v>
      </c>
    </row>
    <row r="46" spans="1:20">
      <c r="A46" s="50" t="s">
        <v>70</v>
      </c>
      <c r="B46" s="50">
        <f>-10.7*(B44+B43)</f>
        <v>6.7944999999999993</v>
      </c>
      <c r="D46" s="50" t="s">
        <v>71</v>
      </c>
      <c r="E46" s="57" t="s">
        <v>40</v>
      </c>
      <c r="F46" s="50" t="s">
        <v>29</v>
      </c>
      <c r="G46" s="50" t="s">
        <v>59</v>
      </c>
      <c r="H46" s="50" t="s">
        <v>136</v>
      </c>
      <c r="I46" s="50">
        <v>5</v>
      </c>
      <c r="J46" s="50">
        <f t="shared" si="0"/>
        <v>6.7944999999999993</v>
      </c>
      <c r="K46" s="50" t="s">
        <v>31</v>
      </c>
      <c r="L46" s="50" t="s">
        <v>31</v>
      </c>
      <c r="M46" s="50">
        <f t="shared" si="1"/>
        <v>6.4547749999999988</v>
      </c>
      <c r="N46" s="50">
        <f t="shared" si="2"/>
        <v>7.1342249999999998</v>
      </c>
      <c r="O46" s="50" t="s">
        <v>415</v>
      </c>
    </row>
    <row r="47" spans="1:20" s="55" customFormat="1" ht="15.6">
      <c r="A47" s="286" t="s">
        <v>5</v>
      </c>
      <c r="B47" s="53" t="s">
        <v>416</v>
      </c>
      <c r="C47" s="53"/>
      <c r="D47" s="54" t="s">
        <v>386</v>
      </c>
      <c r="T47" s="50"/>
    </row>
    <row r="48" spans="1:20">
      <c r="A48" s="50" t="s">
        <v>7</v>
      </c>
      <c r="B48" s="50" t="s">
        <v>295</v>
      </c>
    </row>
    <row r="49" spans="1:20">
      <c r="A49" s="50" t="s">
        <v>9</v>
      </c>
      <c r="B49" s="50" t="s">
        <v>417</v>
      </c>
    </row>
    <row r="50" spans="1:20" ht="15.6">
      <c r="A50" s="50" t="s">
        <v>11</v>
      </c>
      <c r="B50" s="56" t="s">
        <v>418</v>
      </c>
    </row>
    <row r="51" spans="1:20">
      <c r="A51" s="50" t="s">
        <v>13</v>
      </c>
      <c r="B51" s="50" t="s">
        <v>59</v>
      </c>
    </row>
    <row r="52" spans="1:20">
      <c r="A52" s="50" t="s">
        <v>15</v>
      </c>
      <c r="B52" s="50">
        <v>1</v>
      </c>
    </row>
    <row r="53" spans="1:20">
      <c r="A53" s="50" t="s">
        <v>16</v>
      </c>
      <c r="B53" s="50" t="s">
        <v>17</v>
      </c>
    </row>
    <row r="54" spans="1:20">
      <c r="A54" s="50" t="s">
        <v>18</v>
      </c>
      <c r="B54" s="50" t="s">
        <v>18</v>
      </c>
      <c r="E54" s="50" t="s">
        <v>235</v>
      </c>
    </row>
    <row r="55" spans="1:20" ht="15.6">
      <c r="A55" s="52" t="s">
        <v>19</v>
      </c>
    </row>
    <row r="56" spans="1:20" ht="15.6">
      <c r="A56" s="52" t="s">
        <v>20</v>
      </c>
      <c r="B56" s="52" t="s">
        <v>21</v>
      </c>
      <c r="C56" s="52" t="s">
        <v>217</v>
      </c>
      <c r="D56" s="52" t="s">
        <v>18</v>
      </c>
      <c r="E56" s="52" t="s">
        <v>22</v>
      </c>
      <c r="F56" s="52" t="s">
        <v>7</v>
      </c>
      <c r="G56" s="52" t="s">
        <v>13</v>
      </c>
      <c r="H56" s="52" t="s">
        <v>16</v>
      </c>
      <c r="I56" s="52" t="s">
        <v>23</v>
      </c>
      <c r="J56" s="52" t="s">
        <v>24</v>
      </c>
      <c r="K56" s="52" t="s">
        <v>25</v>
      </c>
      <c r="L56" s="52" t="s">
        <v>26</v>
      </c>
      <c r="M56" s="52" t="s">
        <v>27</v>
      </c>
      <c r="N56" s="52" t="s">
        <v>28</v>
      </c>
      <c r="O56" s="52" t="s">
        <v>11</v>
      </c>
    </row>
    <row r="57" spans="1:20" ht="15.6">
      <c r="A57" s="56" t="str">
        <f>B47</f>
        <v>compressor treatment, PEMFC-bat</v>
      </c>
      <c r="B57" s="50">
        <v>1</v>
      </c>
      <c r="D57" s="50" t="s">
        <v>18</v>
      </c>
      <c r="E57" s="56" t="s">
        <v>2</v>
      </c>
      <c r="F57" s="50" t="s">
        <v>295</v>
      </c>
      <c r="G57" s="50" t="s">
        <v>59</v>
      </c>
      <c r="H57" s="50" t="s">
        <v>30</v>
      </c>
      <c r="I57" s="50">
        <v>0</v>
      </c>
      <c r="J57" s="56" t="s">
        <v>31</v>
      </c>
      <c r="K57" s="56" t="s">
        <v>31</v>
      </c>
      <c r="L57" s="56" t="s">
        <v>31</v>
      </c>
      <c r="M57" s="56" t="s">
        <v>31</v>
      </c>
      <c r="N57" s="56" t="s">
        <v>31</v>
      </c>
      <c r="O57" s="56" t="s">
        <v>419</v>
      </c>
    </row>
    <row r="58" spans="1:20" ht="15.6">
      <c r="A58" t="s">
        <v>135</v>
      </c>
      <c r="B58" s="50">
        <f>-0.6*59.65</f>
        <v>-35.79</v>
      </c>
      <c r="D58" s="50" t="s">
        <v>37</v>
      </c>
      <c r="E58" s="57" t="s">
        <v>40</v>
      </c>
      <c r="F58" s="50" t="s">
        <v>29</v>
      </c>
      <c r="G58" s="50" t="s">
        <v>82</v>
      </c>
      <c r="H58" s="50" t="s">
        <v>33</v>
      </c>
      <c r="I58" s="50">
        <v>0</v>
      </c>
      <c r="J58" s="56" t="s">
        <v>31</v>
      </c>
      <c r="K58" s="56" t="s">
        <v>31</v>
      </c>
      <c r="L58" s="56" t="s">
        <v>31</v>
      </c>
      <c r="M58" s="56" t="s">
        <v>31</v>
      </c>
      <c r="N58" s="56" t="s">
        <v>31</v>
      </c>
      <c r="O58" s="50" t="s">
        <v>420</v>
      </c>
    </row>
    <row r="59" spans="1:20" ht="15.6">
      <c r="A59" s="57" t="s">
        <v>86</v>
      </c>
      <c r="B59" s="50">
        <f>-0.95*B58</f>
        <v>34.000499999999995</v>
      </c>
      <c r="D59" s="50" t="s">
        <v>37</v>
      </c>
      <c r="E59" s="57" t="s">
        <v>40</v>
      </c>
      <c r="F59" s="50" t="s">
        <v>29</v>
      </c>
      <c r="G59" s="50" t="s">
        <v>59</v>
      </c>
      <c r="H59" s="50" t="s">
        <v>136</v>
      </c>
      <c r="I59" s="50">
        <v>2</v>
      </c>
      <c r="J59" s="50">
        <f>LN(B59)</f>
        <v>3.5263752303903839</v>
      </c>
      <c r="K59" s="50">
        <v>0.22051077099999999</v>
      </c>
      <c r="L59" s="56" t="s">
        <v>31</v>
      </c>
      <c r="M59" s="56" t="s">
        <v>31</v>
      </c>
      <c r="N59" s="56" t="s">
        <v>31</v>
      </c>
    </row>
    <row r="60" spans="1:20" ht="15.6">
      <c r="A60" s="50" t="s">
        <v>403</v>
      </c>
      <c r="B60" s="50">
        <f>-(59.648-B59)</f>
        <v>-25.647500000000008</v>
      </c>
      <c r="D60" s="50" t="s">
        <v>37</v>
      </c>
      <c r="E60" s="57" t="s">
        <v>40</v>
      </c>
      <c r="F60" s="50" t="s">
        <v>29</v>
      </c>
      <c r="G60" s="50" t="s">
        <v>59</v>
      </c>
      <c r="H60" s="50" t="s">
        <v>33</v>
      </c>
      <c r="I60" s="50">
        <v>0</v>
      </c>
      <c r="J60" s="56" t="s">
        <v>31</v>
      </c>
      <c r="K60" s="56" t="s">
        <v>31</v>
      </c>
      <c r="L60" s="56" t="s">
        <v>31</v>
      </c>
      <c r="M60" s="56" t="s">
        <v>31</v>
      </c>
      <c r="N60" s="56" t="s">
        <v>31</v>
      </c>
    </row>
    <row r="61" spans="1:20" s="55" customFormat="1" ht="15.6">
      <c r="A61" s="286" t="s">
        <v>5</v>
      </c>
      <c r="B61" s="53" t="s">
        <v>421</v>
      </c>
      <c r="C61" s="53"/>
      <c r="D61" s="54" t="s">
        <v>386</v>
      </c>
      <c r="T61" s="50"/>
    </row>
    <row r="62" spans="1:20">
      <c r="A62" s="50" t="s">
        <v>7</v>
      </c>
      <c r="B62" s="50" t="s">
        <v>295</v>
      </c>
    </row>
    <row r="63" spans="1:20">
      <c r="A63" s="50" t="s">
        <v>9</v>
      </c>
      <c r="B63" s="50" t="s">
        <v>422</v>
      </c>
    </row>
    <row r="64" spans="1:20" ht="15.6">
      <c r="A64" s="50" t="s">
        <v>11</v>
      </c>
      <c r="B64" s="56" t="s">
        <v>423</v>
      </c>
    </row>
    <row r="65" spans="1:15">
      <c r="A65" s="50" t="s">
        <v>13</v>
      </c>
      <c r="B65" s="50" t="s">
        <v>35</v>
      </c>
    </row>
    <row r="66" spans="1:15">
      <c r="A66" s="50" t="s">
        <v>15</v>
      </c>
      <c r="B66" s="50">
        <v>1</v>
      </c>
    </row>
    <row r="67" spans="1:15">
      <c r="A67" s="50" t="s">
        <v>16</v>
      </c>
      <c r="B67" s="50" t="s">
        <v>17</v>
      </c>
    </row>
    <row r="68" spans="1:15">
      <c r="A68" s="50" t="s">
        <v>18</v>
      </c>
      <c r="B68" s="50" t="s">
        <v>18</v>
      </c>
      <c r="E68" s="50" t="s">
        <v>235</v>
      </c>
    </row>
    <row r="69" spans="1:15" ht="15.6">
      <c r="A69" s="52" t="s">
        <v>19</v>
      </c>
    </row>
    <row r="70" spans="1:15" ht="15.6">
      <c r="A70" s="52" t="s">
        <v>20</v>
      </c>
      <c r="B70" s="52" t="s">
        <v>21</v>
      </c>
      <c r="C70" s="52" t="s">
        <v>217</v>
      </c>
      <c r="D70" s="52" t="s">
        <v>18</v>
      </c>
      <c r="E70" s="52" t="s">
        <v>22</v>
      </c>
      <c r="F70" s="52" t="s">
        <v>7</v>
      </c>
      <c r="G70" s="52" t="s">
        <v>13</v>
      </c>
      <c r="H70" s="52" t="s">
        <v>16</v>
      </c>
      <c r="I70" s="52" t="s">
        <v>23</v>
      </c>
      <c r="J70" s="52" t="s">
        <v>24</v>
      </c>
      <c r="K70" s="52" t="s">
        <v>25</v>
      </c>
      <c r="L70" s="52" t="s">
        <v>26</v>
      </c>
      <c r="M70" s="52" t="s">
        <v>27</v>
      </c>
      <c r="N70" s="52" t="s">
        <v>28</v>
      </c>
      <c r="O70" s="52" t="s">
        <v>11</v>
      </c>
    </row>
    <row r="71" spans="1:15" ht="15.6">
      <c r="A71" s="56" t="str">
        <f>B61</f>
        <v>LiO battery pack dismantling, PEMFC-bat</v>
      </c>
      <c r="B71" s="56">
        <v>1</v>
      </c>
      <c r="C71" s="56"/>
      <c r="D71" s="56" t="s">
        <v>18</v>
      </c>
      <c r="E71" s="56" t="s">
        <v>2</v>
      </c>
      <c r="F71" s="50" t="s">
        <v>295</v>
      </c>
      <c r="G71" s="50" t="s">
        <v>35</v>
      </c>
      <c r="H71" s="56" t="s">
        <v>30</v>
      </c>
      <c r="I71" s="56">
        <v>0</v>
      </c>
      <c r="J71" s="56" t="s">
        <v>31</v>
      </c>
      <c r="K71" s="56" t="s">
        <v>31</v>
      </c>
      <c r="L71" s="56" t="s">
        <v>31</v>
      </c>
      <c r="M71" s="56" t="s">
        <v>31</v>
      </c>
      <c r="N71" s="56" t="s">
        <v>31</v>
      </c>
      <c r="O71" s="56" t="s">
        <v>423</v>
      </c>
    </row>
    <row r="72" spans="1:15" ht="15.6">
      <c r="A72" s="300" t="s">
        <v>424</v>
      </c>
      <c r="B72" s="300">
        <v>35.92</v>
      </c>
      <c r="C72" s="300"/>
      <c r="D72" s="300" t="s">
        <v>37</v>
      </c>
      <c r="E72" s="300" t="s">
        <v>40</v>
      </c>
      <c r="F72" s="300" t="s">
        <v>29</v>
      </c>
      <c r="G72" s="300" t="s">
        <v>59</v>
      </c>
      <c r="H72" s="301" t="s">
        <v>33</v>
      </c>
      <c r="I72" s="56">
        <v>5</v>
      </c>
      <c r="J72" s="50">
        <f>B72</f>
        <v>35.92</v>
      </c>
      <c r="K72" s="50" t="s">
        <v>31</v>
      </c>
      <c r="L72" s="50" t="s">
        <v>31</v>
      </c>
      <c r="M72" s="50">
        <f>J72*(0.95)</f>
        <v>34.124000000000002</v>
      </c>
      <c r="N72" s="50">
        <f t="shared" ref="N72" si="3">J72*1.05</f>
        <v>37.716000000000001</v>
      </c>
      <c r="O72" s="56" t="s">
        <v>425</v>
      </c>
    </row>
    <row r="73" spans="1:15" ht="15.6">
      <c r="A73" s="50" t="s">
        <v>344</v>
      </c>
      <c r="B73" s="300">
        <v>0.3</v>
      </c>
      <c r="D73" s="50" t="s">
        <v>37</v>
      </c>
      <c r="E73" s="50" t="s">
        <v>40</v>
      </c>
      <c r="F73" s="50" t="s">
        <v>29</v>
      </c>
      <c r="G73" s="50" t="s">
        <v>59</v>
      </c>
      <c r="H73" s="301" t="s">
        <v>33</v>
      </c>
      <c r="I73" s="56">
        <v>5</v>
      </c>
      <c r="J73" s="50">
        <f>B73</f>
        <v>0.3</v>
      </c>
      <c r="K73" s="50" t="s">
        <v>31</v>
      </c>
      <c r="L73" s="50" t="s">
        <v>31</v>
      </c>
      <c r="M73" s="50">
        <f>J73*(0.98)</f>
        <v>0.29399999999999998</v>
      </c>
      <c r="N73" s="50">
        <f>J73*1.02</f>
        <v>0.30599999999999999</v>
      </c>
      <c r="O73" s="56" t="s">
        <v>426</v>
      </c>
    </row>
    <row r="74" spans="1:15" ht="15.6">
      <c r="A74" s="300" t="s">
        <v>427</v>
      </c>
      <c r="B74" s="50">
        <v>0.33500000000000002</v>
      </c>
      <c r="C74" s="300"/>
      <c r="D74" s="300" t="s">
        <v>37</v>
      </c>
      <c r="E74" s="300" t="s">
        <v>40</v>
      </c>
      <c r="F74" s="300" t="s">
        <v>29</v>
      </c>
      <c r="G74" s="300" t="s">
        <v>59</v>
      </c>
      <c r="H74" s="301" t="s">
        <v>33</v>
      </c>
      <c r="I74" s="56">
        <v>5</v>
      </c>
      <c r="J74" s="50">
        <f>B74</f>
        <v>0.33500000000000002</v>
      </c>
      <c r="K74" s="50" t="s">
        <v>31</v>
      </c>
      <c r="L74" s="50" t="s">
        <v>31</v>
      </c>
      <c r="M74" s="50">
        <f>J74*(0.98)</f>
        <v>0.32830000000000004</v>
      </c>
      <c r="N74" s="50">
        <f>J74*1.02</f>
        <v>0.3417</v>
      </c>
      <c r="O74" s="56" t="s">
        <v>428</v>
      </c>
    </row>
    <row r="75" spans="1:15" ht="15.6">
      <c r="A75" s="57" t="s">
        <v>38</v>
      </c>
      <c r="B75" s="297">
        <v>8.7200000000000006</v>
      </c>
      <c r="C75" s="297"/>
      <c r="D75" s="297" t="s">
        <v>39</v>
      </c>
      <c r="E75" s="297" t="s">
        <v>40</v>
      </c>
      <c r="F75" s="297" t="s">
        <v>29</v>
      </c>
      <c r="G75" s="297" t="s">
        <v>14</v>
      </c>
      <c r="H75" s="301" t="s">
        <v>33</v>
      </c>
      <c r="I75" s="56">
        <v>5</v>
      </c>
      <c r="J75" s="50">
        <f>B75</f>
        <v>8.7200000000000006</v>
      </c>
      <c r="K75" s="50" t="s">
        <v>31</v>
      </c>
      <c r="L75" s="50" t="s">
        <v>31</v>
      </c>
      <c r="M75" s="50">
        <f>J75*(0.95)</f>
        <v>8.2840000000000007</v>
      </c>
      <c r="N75" s="50">
        <f t="shared" ref="N75" si="4">J75*1.05</f>
        <v>9.1560000000000006</v>
      </c>
      <c r="O75" s="56" t="s">
        <v>429</v>
      </c>
    </row>
    <row r="76" spans="1:15">
      <c r="A76" s="57" t="s">
        <v>38</v>
      </c>
      <c r="B76" s="50">
        <v>10.73</v>
      </c>
      <c r="D76" s="50" t="s">
        <v>39</v>
      </c>
      <c r="E76" s="57" t="s">
        <v>40</v>
      </c>
      <c r="F76" s="50" t="s">
        <v>29</v>
      </c>
      <c r="G76" s="50" t="s">
        <v>14</v>
      </c>
      <c r="H76" s="50" t="s">
        <v>33</v>
      </c>
      <c r="I76" s="50">
        <v>5</v>
      </c>
      <c r="J76" s="50">
        <f>B76</f>
        <v>10.73</v>
      </c>
      <c r="K76" s="50" t="s">
        <v>31</v>
      </c>
      <c r="L76" s="50" t="s">
        <v>31</v>
      </c>
      <c r="M76" s="50">
        <f>J76*(0.97)</f>
        <v>10.408099999999999</v>
      </c>
      <c r="N76" s="50">
        <f>J76*1.03</f>
        <v>11.051900000000002</v>
      </c>
      <c r="O76" s="50" t="s">
        <v>430</v>
      </c>
    </row>
    <row r="77" spans="1:15">
      <c r="A77" s="57" t="str">
        <f>A12</f>
        <v>BMS treatment, PEMFC-bat</v>
      </c>
      <c r="B77" s="50">
        <v>1</v>
      </c>
      <c r="D77" s="50" t="s">
        <v>18</v>
      </c>
      <c r="E77" s="57" t="s">
        <v>2</v>
      </c>
      <c r="F77" s="50" t="s">
        <v>295</v>
      </c>
      <c r="G77" s="50" t="s">
        <v>35</v>
      </c>
      <c r="H77" s="50" t="s">
        <v>33</v>
      </c>
      <c r="I77" s="50">
        <v>1</v>
      </c>
      <c r="J77" s="50" t="s">
        <v>31</v>
      </c>
      <c r="K77" s="50" t="s">
        <v>31</v>
      </c>
      <c r="L77" s="50" t="s">
        <v>31</v>
      </c>
      <c r="M77" s="50" t="s">
        <v>31</v>
      </c>
      <c r="N77" s="50" t="s">
        <v>31</v>
      </c>
    </row>
    <row r="78" spans="1:15">
      <c r="A78" s="297" t="str">
        <f>A24</f>
        <v>casing scrap treatment, PEMFC-bat</v>
      </c>
      <c r="B78" s="50">
        <v>1</v>
      </c>
      <c r="D78" s="297" t="s">
        <v>18</v>
      </c>
      <c r="E78" s="297" t="s">
        <v>2</v>
      </c>
      <c r="F78" s="50" t="s">
        <v>295</v>
      </c>
      <c r="G78" s="297" t="s">
        <v>59</v>
      </c>
      <c r="H78" s="50" t="s">
        <v>33</v>
      </c>
      <c r="I78" s="50">
        <v>1</v>
      </c>
      <c r="J78" s="50" t="s">
        <v>31</v>
      </c>
      <c r="K78" s="50" t="s">
        <v>31</v>
      </c>
      <c r="L78" s="50" t="s">
        <v>31</v>
      </c>
      <c r="M78" s="50" t="s">
        <v>31</v>
      </c>
      <c r="N78" s="50" t="s">
        <v>31</v>
      </c>
    </row>
    <row r="79" spans="1:15">
      <c r="A79" s="297" t="str">
        <f>A39</f>
        <v>packaging treatment, PEMFC-bat</v>
      </c>
      <c r="B79" s="50">
        <v>1</v>
      </c>
      <c r="D79" s="297" t="s">
        <v>18</v>
      </c>
      <c r="E79" s="297" t="s">
        <v>2</v>
      </c>
      <c r="F79" s="50" t="s">
        <v>295</v>
      </c>
      <c r="G79" s="297" t="s">
        <v>35</v>
      </c>
      <c r="H79" s="50" t="s">
        <v>33</v>
      </c>
      <c r="I79" s="50">
        <v>1</v>
      </c>
      <c r="J79" s="50" t="s">
        <v>31</v>
      </c>
      <c r="K79" s="50" t="s">
        <v>31</v>
      </c>
      <c r="L79" s="50" t="s">
        <v>31</v>
      </c>
      <c r="M79" s="50" t="s">
        <v>31</v>
      </c>
      <c r="N79" s="50" t="s">
        <v>31</v>
      </c>
    </row>
    <row r="80" spans="1:15">
      <c r="A80" s="297" t="s">
        <v>416</v>
      </c>
      <c r="B80" s="50">
        <v>1</v>
      </c>
      <c r="D80" s="297" t="s">
        <v>18</v>
      </c>
      <c r="E80" s="297" t="s">
        <v>2</v>
      </c>
      <c r="F80" s="50" t="s">
        <v>295</v>
      </c>
      <c r="G80" s="297" t="s">
        <v>59</v>
      </c>
      <c r="H80" s="50" t="s">
        <v>33</v>
      </c>
      <c r="I80" s="50">
        <v>1</v>
      </c>
      <c r="J80" s="50" t="s">
        <v>31</v>
      </c>
      <c r="K80" s="50" t="s">
        <v>31</v>
      </c>
      <c r="L80" s="50" t="s">
        <v>31</v>
      </c>
      <c r="M80" s="50" t="s">
        <v>31</v>
      </c>
      <c r="N80" s="50" t="s">
        <v>31</v>
      </c>
    </row>
    <row r="81" spans="1:20" s="55" customFormat="1" ht="15.6">
      <c r="A81" s="286" t="s">
        <v>5</v>
      </c>
      <c r="B81" s="53" t="s">
        <v>431</v>
      </c>
      <c r="C81" s="53"/>
      <c r="D81" s="54"/>
      <c r="T81" s="50"/>
    </row>
    <row r="82" spans="1:20">
      <c r="A82" s="50" t="s">
        <v>7</v>
      </c>
      <c r="B82" s="50" t="s">
        <v>295</v>
      </c>
    </row>
    <row r="83" spans="1:20">
      <c r="A83" s="50" t="s">
        <v>9</v>
      </c>
      <c r="B83" s="50" t="s">
        <v>432</v>
      </c>
    </row>
    <row r="84" spans="1:20" ht="15.75" customHeight="1">
      <c r="A84" s="50" t="s">
        <v>11</v>
      </c>
      <c r="B84" s="50" t="s">
        <v>433</v>
      </c>
    </row>
    <row r="85" spans="1:20">
      <c r="A85" s="50" t="s">
        <v>13</v>
      </c>
      <c r="B85" s="50" t="s">
        <v>35</v>
      </c>
    </row>
    <row r="86" spans="1:20">
      <c r="A86" s="50" t="s">
        <v>15</v>
      </c>
      <c r="B86" s="50">
        <v>1</v>
      </c>
    </row>
    <row r="87" spans="1:20">
      <c r="A87" s="50" t="s">
        <v>16</v>
      </c>
      <c r="B87" s="50" t="s">
        <v>17</v>
      </c>
    </row>
    <row r="88" spans="1:20">
      <c r="A88" s="50" t="s">
        <v>18</v>
      </c>
      <c r="B88" s="50" t="s">
        <v>18</v>
      </c>
      <c r="E88" s="50" t="s">
        <v>235</v>
      </c>
    </row>
    <row r="89" spans="1:20" ht="15.6">
      <c r="A89" s="52" t="s">
        <v>19</v>
      </c>
    </row>
    <row r="90" spans="1:20" ht="15.6">
      <c r="A90" s="52" t="s">
        <v>20</v>
      </c>
      <c r="B90" s="52" t="s">
        <v>21</v>
      </c>
      <c r="C90" s="52" t="s">
        <v>217</v>
      </c>
      <c r="D90" s="52" t="s">
        <v>18</v>
      </c>
      <c r="E90" s="52" t="s">
        <v>22</v>
      </c>
      <c r="F90" s="52" t="s">
        <v>7</v>
      </c>
      <c r="G90" s="52" t="s">
        <v>13</v>
      </c>
      <c r="H90" s="52" t="s">
        <v>16</v>
      </c>
      <c r="I90" s="52" t="s">
        <v>23</v>
      </c>
      <c r="J90" s="52" t="s">
        <v>24</v>
      </c>
      <c r="K90" s="52" t="s">
        <v>25</v>
      </c>
      <c r="L90" s="52" t="s">
        <v>26</v>
      </c>
      <c r="M90" s="52" t="s">
        <v>27</v>
      </c>
      <c r="N90" s="52" t="s">
        <v>28</v>
      </c>
      <c r="O90" s="52" t="s">
        <v>11</v>
      </c>
    </row>
    <row r="91" spans="1:20" ht="15.6">
      <c r="A91" s="56" t="str">
        <f>B81</f>
        <v>Multi-step mechanical treatment of pyrolysed modules, LiO, PEMFC-bat</v>
      </c>
      <c r="B91" s="56">
        <v>1</v>
      </c>
      <c r="C91" s="56"/>
      <c r="D91" s="56" t="s">
        <v>18</v>
      </c>
      <c r="E91" s="50" t="s">
        <v>2</v>
      </c>
      <c r="F91" s="50" t="s">
        <v>295</v>
      </c>
      <c r="G91" s="50" t="s">
        <v>35</v>
      </c>
      <c r="H91" s="50" t="s">
        <v>30</v>
      </c>
      <c r="I91" s="50">
        <v>0</v>
      </c>
      <c r="J91" s="56" t="s">
        <v>31</v>
      </c>
      <c r="K91" s="56" t="s">
        <v>31</v>
      </c>
      <c r="L91" s="56" t="s">
        <v>31</v>
      </c>
      <c r="M91" s="56" t="s">
        <v>31</v>
      </c>
      <c r="N91" s="56" t="s">
        <v>31</v>
      </c>
      <c r="O91" s="50" t="s">
        <v>433</v>
      </c>
    </row>
    <row r="92" spans="1:20" ht="15.6">
      <c r="A92" s="302" t="s">
        <v>38</v>
      </c>
      <c r="B92" s="50">
        <v>1.02</v>
      </c>
      <c r="D92" s="302" t="s">
        <v>39</v>
      </c>
      <c r="E92" s="302" t="s">
        <v>40</v>
      </c>
      <c r="F92" s="50" t="s">
        <v>29</v>
      </c>
      <c r="G92" s="302" t="s">
        <v>14</v>
      </c>
      <c r="H92" s="50" t="s">
        <v>33</v>
      </c>
      <c r="I92" s="56">
        <v>5</v>
      </c>
      <c r="J92" s="50">
        <f>B92</f>
        <v>1.02</v>
      </c>
      <c r="K92" s="50" t="s">
        <v>31</v>
      </c>
      <c r="L92" s="50" t="s">
        <v>31</v>
      </c>
      <c r="M92" s="50">
        <f>J92*(0.97)</f>
        <v>0.98939999999999995</v>
      </c>
      <c r="N92" s="50">
        <f>J92*1.03</f>
        <v>1.0506</v>
      </c>
      <c r="O92" s="50" t="s">
        <v>430</v>
      </c>
    </row>
    <row r="93" spans="1:20" ht="15.6">
      <c r="A93" s="297" t="s">
        <v>38</v>
      </c>
      <c r="B93" s="50">
        <v>54.262999999999998</v>
      </c>
      <c r="D93" s="297" t="s">
        <v>39</v>
      </c>
      <c r="E93" s="297" t="s">
        <v>40</v>
      </c>
      <c r="F93" s="50" t="s">
        <v>29</v>
      </c>
      <c r="G93" s="297" t="s">
        <v>14</v>
      </c>
      <c r="H93" s="50" t="s">
        <v>33</v>
      </c>
      <c r="I93" s="56">
        <v>5</v>
      </c>
      <c r="J93" s="50">
        <f>B93</f>
        <v>54.262999999999998</v>
      </c>
      <c r="K93" s="50" t="s">
        <v>31</v>
      </c>
      <c r="L93" s="50" t="s">
        <v>31</v>
      </c>
      <c r="M93" s="50">
        <f>J93*(0.95)</f>
        <v>51.549849999999999</v>
      </c>
      <c r="N93" s="50">
        <f t="shared" ref="N93" si="5">J93*1.05</f>
        <v>56.976149999999997</v>
      </c>
      <c r="O93" s="50" t="s">
        <v>434</v>
      </c>
    </row>
    <row r="94" spans="1:20" s="55" customFormat="1" ht="15.6">
      <c r="A94" s="286" t="s">
        <v>5</v>
      </c>
      <c r="B94" s="303" t="s">
        <v>435</v>
      </c>
      <c r="C94" s="53"/>
      <c r="D94" s="54"/>
      <c r="T94" s="50"/>
    </row>
    <row r="95" spans="1:20">
      <c r="A95" s="50" t="s">
        <v>7</v>
      </c>
      <c r="B95" s="50" t="s">
        <v>295</v>
      </c>
    </row>
    <row r="96" spans="1:20">
      <c r="A96" s="50" t="s">
        <v>9</v>
      </c>
      <c r="B96" s="50" t="s">
        <v>436</v>
      </c>
    </row>
    <row r="97" spans="1:20" ht="15.75" customHeight="1">
      <c r="A97" s="50" t="s">
        <v>11</v>
      </c>
      <c r="B97" s="50" t="s">
        <v>437</v>
      </c>
    </row>
    <row r="98" spans="1:20">
      <c r="A98" s="50" t="s">
        <v>13</v>
      </c>
      <c r="B98" s="50" t="s">
        <v>59</v>
      </c>
    </row>
    <row r="99" spans="1:20">
      <c r="A99" s="50" t="s">
        <v>15</v>
      </c>
      <c r="B99" s="50">
        <v>1</v>
      </c>
    </row>
    <row r="100" spans="1:20">
      <c r="A100" s="50" t="s">
        <v>16</v>
      </c>
      <c r="B100" s="50" t="s">
        <v>17</v>
      </c>
    </row>
    <row r="101" spans="1:20">
      <c r="A101" s="50" t="s">
        <v>18</v>
      </c>
      <c r="B101" s="50" t="s">
        <v>18</v>
      </c>
      <c r="E101" s="50" t="s">
        <v>235</v>
      </c>
    </row>
    <row r="102" spans="1:20" ht="15.6">
      <c r="A102" s="52" t="s">
        <v>19</v>
      </c>
    </row>
    <row r="103" spans="1:20" ht="15.6">
      <c r="A103" s="52" t="s">
        <v>20</v>
      </c>
      <c r="B103" s="52" t="s">
        <v>21</v>
      </c>
      <c r="C103" s="52" t="s">
        <v>217</v>
      </c>
      <c r="D103" s="52" t="s">
        <v>18</v>
      </c>
      <c r="E103" s="52" t="s">
        <v>22</v>
      </c>
      <c r="F103" s="52" t="s">
        <v>7</v>
      </c>
      <c r="G103" s="52" t="s">
        <v>13</v>
      </c>
      <c r="H103" s="52" t="s">
        <v>16</v>
      </c>
      <c r="I103" s="52" t="s">
        <v>23</v>
      </c>
      <c r="J103" s="52" t="s">
        <v>24</v>
      </c>
      <c r="K103" s="52" t="s">
        <v>25</v>
      </c>
      <c r="L103" s="52" t="s">
        <v>26</v>
      </c>
      <c r="M103" s="52" t="s">
        <v>27</v>
      </c>
      <c r="N103" s="52" t="s">
        <v>28</v>
      </c>
      <c r="O103" s="52" t="s">
        <v>11</v>
      </c>
    </row>
    <row r="104" spans="1:20" ht="15.6">
      <c r="A104" s="56" t="str">
        <f>B94</f>
        <v>active material and cu/al fractions treatment, LiO, PEMFC-bat</v>
      </c>
      <c r="B104" s="56">
        <v>1</v>
      </c>
      <c r="C104" s="56"/>
      <c r="D104" s="56" t="s">
        <v>18</v>
      </c>
      <c r="E104" s="50" t="s">
        <v>2</v>
      </c>
      <c r="F104" s="50" t="s">
        <v>295</v>
      </c>
      <c r="G104" s="56" t="s">
        <v>59</v>
      </c>
      <c r="H104" s="50" t="s">
        <v>30</v>
      </c>
      <c r="I104" s="50">
        <v>0</v>
      </c>
      <c r="J104" s="56" t="s">
        <v>31</v>
      </c>
      <c r="K104" s="56" t="s">
        <v>31</v>
      </c>
      <c r="L104" s="56" t="s">
        <v>31</v>
      </c>
      <c r="M104" s="56" t="s">
        <v>31</v>
      </c>
      <c r="N104" s="56" t="s">
        <v>31</v>
      </c>
      <c r="O104" s="50" t="s">
        <v>437</v>
      </c>
    </row>
    <row r="105" spans="1:20" ht="15.6">
      <c r="A105" s="56" t="s">
        <v>438</v>
      </c>
      <c r="B105" s="56">
        <f>-1293.98*(6.75*0.198/(6.75*0.198+0.34*26.517))</f>
        <v>-167.05539939027923</v>
      </c>
      <c r="C105" s="289" t="s">
        <v>439</v>
      </c>
      <c r="D105" s="50" t="s">
        <v>37</v>
      </c>
      <c r="E105" s="297" t="s">
        <v>40</v>
      </c>
      <c r="F105" s="50" t="s">
        <v>29</v>
      </c>
      <c r="G105" s="56" t="s">
        <v>59</v>
      </c>
      <c r="H105" s="50" t="s">
        <v>33</v>
      </c>
      <c r="I105" s="50">
        <v>5</v>
      </c>
      <c r="J105" s="50">
        <f>B105</f>
        <v>-167.05539939027923</v>
      </c>
      <c r="K105" s="50" t="s">
        <v>31</v>
      </c>
      <c r="L105" s="50" t="s">
        <v>31</v>
      </c>
      <c r="M105" s="50">
        <f>J105*1.05</f>
        <v>-175.40816935979319</v>
      </c>
      <c r="N105" s="50">
        <f>J105*0.95</f>
        <v>-158.70262942076528</v>
      </c>
      <c r="O105" s="50" t="s">
        <v>440</v>
      </c>
    </row>
    <row r="106" spans="1:20">
      <c r="A106" t="s">
        <v>327</v>
      </c>
      <c r="B106" s="50">
        <f>0.95*517.59</f>
        <v>491.71050000000002</v>
      </c>
      <c r="D106" s="50" t="s">
        <v>37</v>
      </c>
      <c r="E106" s="297" t="s">
        <v>40</v>
      </c>
      <c r="F106" s="50" t="s">
        <v>29</v>
      </c>
      <c r="G106" s="297" t="s">
        <v>59</v>
      </c>
      <c r="H106" s="50" t="s">
        <v>136</v>
      </c>
      <c r="I106" s="50">
        <v>5</v>
      </c>
      <c r="J106" s="50">
        <f>B106</f>
        <v>491.71050000000002</v>
      </c>
      <c r="K106" s="50" t="s">
        <v>31</v>
      </c>
      <c r="L106" s="50" t="s">
        <v>31</v>
      </c>
      <c r="M106" s="50">
        <f>J106*(0.95)</f>
        <v>467.12497500000001</v>
      </c>
      <c r="N106" s="50">
        <f>J106*1.05</f>
        <v>516.2960250000001</v>
      </c>
      <c r="O106" s="50" t="s">
        <v>441</v>
      </c>
    </row>
    <row r="107" spans="1:20" ht="29.1">
      <c r="A107" s="304" t="s">
        <v>442</v>
      </c>
      <c r="B107" s="50">
        <v>972.65</v>
      </c>
      <c r="C107" s="289" t="s">
        <v>443</v>
      </c>
      <c r="D107" s="50" t="s">
        <v>37</v>
      </c>
      <c r="E107" s="297" t="s">
        <v>40</v>
      </c>
      <c r="F107" s="50" t="s">
        <v>29</v>
      </c>
      <c r="G107" s="297" t="s">
        <v>82</v>
      </c>
      <c r="H107" s="50" t="s">
        <v>33</v>
      </c>
      <c r="I107" s="56">
        <v>5</v>
      </c>
      <c r="J107" s="50">
        <f>B107</f>
        <v>972.65</v>
      </c>
      <c r="K107" s="50" t="s">
        <v>31</v>
      </c>
      <c r="L107" s="50" t="s">
        <v>31</v>
      </c>
      <c r="M107" s="50">
        <f>J107*(0.95)</f>
        <v>924.01749999999993</v>
      </c>
      <c r="N107" s="50">
        <f>J107*1.05</f>
        <v>1021.2825</v>
      </c>
      <c r="O107" s="50" t="s">
        <v>444</v>
      </c>
    </row>
    <row r="108" spans="1:20">
      <c r="A108" s="297" t="s">
        <v>347</v>
      </c>
      <c r="B108" s="50">
        <f>0.7*0.32*972.65</f>
        <v>217.87359999999998</v>
      </c>
      <c r="C108" s="289" t="s">
        <v>266</v>
      </c>
      <c r="D108" s="50" t="s">
        <v>37</v>
      </c>
      <c r="E108" s="297" t="s">
        <v>40</v>
      </c>
      <c r="F108" s="50" t="s">
        <v>29</v>
      </c>
      <c r="G108" s="297" t="s">
        <v>59</v>
      </c>
      <c r="H108" s="50" t="s">
        <v>136</v>
      </c>
      <c r="I108" s="50">
        <v>5</v>
      </c>
      <c r="J108" s="50">
        <v>21.584</v>
      </c>
      <c r="K108" s="50" t="s">
        <v>31</v>
      </c>
      <c r="L108" s="50" t="s">
        <v>31</v>
      </c>
      <c r="M108" s="50">
        <v>20.504799999999999</v>
      </c>
      <c r="N108" s="50">
        <v>22.6632</v>
      </c>
      <c r="O108" s="50" t="s">
        <v>445</v>
      </c>
    </row>
    <row r="109" spans="1:20">
      <c r="A109" s="297" t="s">
        <v>120</v>
      </c>
      <c r="B109" s="50">
        <f>0.98*0.49*972.65</f>
        <v>467.06652999999994</v>
      </c>
      <c r="C109" s="289" t="s">
        <v>446</v>
      </c>
      <c r="D109" s="50" t="s">
        <v>37</v>
      </c>
      <c r="E109" s="297" t="s">
        <v>40</v>
      </c>
      <c r="F109" s="50" t="s">
        <v>29</v>
      </c>
      <c r="G109" s="297" t="s">
        <v>59</v>
      </c>
      <c r="H109" s="50" t="s">
        <v>136</v>
      </c>
      <c r="I109" s="50">
        <v>5</v>
      </c>
      <c r="J109" s="50">
        <v>250.81139999999999</v>
      </c>
      <c r="K109" s="50" t="s">
        <v>31</v>
      </c>
      <c r="L109" s="50" t="s">
        <v>31</v>
      </c>
      <c r="M109" s="50">
        <v>238.27082999999999</v>
      </c>
      <c r="N109" s="50">
        <v>263.35196999999999</v>
      </c>
      <c r="O109" s="50" t="s">
        <v>447</v>
      </c>
    </row>
    <row r="110" spans="1:20">
      <c r="A110" s="297" t="s">
        <v>448</v>
      </c>
      <c r="B110" s="305">
        <f>-(972.65-B109-B108+1293.98-B106-194.1)</f>
        <v>-895.87936999999999</v>
      </c>
      <c r="C110" s="289" t="s">
        <v>449</v>
      </c>
      <c r="D110" s="50" t="s">
        <v>37</v>
      </c>
      <c r="E110" s="297" t="s">
        <v>40</v>
      </c>
      <c r="F110" s="50" t="s">
        <v>29</v>
      </c>
      <c r="G110" s="297" t="s">
        <v>82</v>
      </c>
      <c r="H110" s="50" t="s">
        <v>33</v>
      </c>
      <c r="I110" s="50">
        <v>5</v>
      </c>
      <c r="J110" s="305">
        <v>-252.98399999999998</v>
      </c>
      <c r="K110" s="50" t="s">
        <v>31</v>
      </c>
      <c r="L110" s="50" t="s">
        <v>31</v>
      </c>
      <c r="M110" s="50">
        <v>-265.63319999999999</v>
      </c>
      <c r="N110" s="50">
        <v>-240.33479999999997</v>
      </c>
      <c r="O110" s="50" t="s">
        <v>450</v>
      </c>
    </row>
    <row r="111" spans="1:20" s="55" customFormat="1" ht="15.6">
      <c r="A111" s="286" t="s">
        <v>5</v>
      </c>
      <c r="B111" s="53" t="s">
        <v>451</v>
      </c>
      <c r="C111" s="53"/>
      <c r="D111" s="54"/>
      <c r="T111" s="50"/>
    </row>
    <row r="112" spans="1:20">
      <c r="A112" s="50" t="s">
        <v>7</v>
      </c>
      <c r="B112" s="50" t="s">
        <v>295</v>
      </c>
    </row>
    <row r="113" spans="1:20">
      <c r="A113" s="50" t="s">
        <v>9</v>
      </c>
      <c r="B113" s="50" t="s">
        <v>452</v>
      </c>
    </row>
    <row r="114" spans="1:20" ht="15.75" customHeight="1">
      <c r="A114" s="50" t="s">
        <v>11</v>
      </c>
      <c r="B114" s="50" t="s">
        <v>394</v>
      </c>
    </row>
    <row r="115" spans="1:20">
      <c r="A115" s="50" t="s">
        <v>13</v>
      </c>
      <c r="B115" s="50" t="s">
        <v>59</v>
      </c>
    </row>
    <row r="116" spans="1:20">
      <c r="A116" s="50" t="s">
        <v>15</v>
      </c>
      <c r="B116" s="50">
        <v>1</v>
      </c>
    </row>
    <row r="117" spans="1:20">
      <c r="A117" s="50" t="s">
        <v>16</v>
      </c>
      <c r="B117" s="50" t="s">
        <v>17</v>
      </c>
    </row>
    <row r="118" spans="1:20">
      <c r="A118" s="50" t="s">
        <v>18</v>
      </c>
      <c r="B118" s="50" t="s">
        <v>18</v>
      </c>
      <c r="E118" s="50" t="s">
        <v>235</v>
      </c>
    </row>
    <row r="119" spans="1:20" ht="15.6">
      <c r="A119" s="52" t="s">
        <v>19</v>
      </c>
    </row>
    <row r="120" spans="1:20" ht="15.6">
      <c r="A120" s="52" t="s">
        <v>20</v>
      </c>
      <c r="B120" s="52" t="s">
        <v>21</v>
      </c>
      <c r="C120" s="52" t="s">
        <v>217</v>
      </c>
      <c r="D120" s="52" t="s">
        <v>18</v>
      </c>
      <c r="E120" s="52" t="s">
        <v>22</v>
      </c>
      <c r="F120" s="52" t="s">
        <v>7</v>
      </c>
      <c r="G120" s="52" t="s">
        <v>13</v>
      </c>
      <c r="H120" s="52" t="s">
        <v>16</v>
      </c>
      <c r="I120" s="52" t="s">
        <v>23</v>
      </c>
      <c r="J120" s="52" t="s">
        <v>24</v>
      </c>
      <c r="K120" s="52" t="s">
        <v>25</v>
      </c>
      <c r="L120" s="52" t="s">
        <v>26</v>
      </c>
      <c r="M120" s="52" t="s">
        <v>27</v>
      </c>
      <c r="N120" s="52" t="s">
        <v>28</v>
      </c>
      <c r="O120" s="52" t="s">
        <v>11</v>
      </c>
    </row>
    <row r="121" spans="1:20" ht="15.6">
      <c r="A121" s="56" t="str">
        <f>B111</f>
        <v>treatment of battery LiO, PEMFC-bat</v>
      </c>
      <c r="B121" s="56">
        <v>1</v>
      </c>
      <c r="C121" s="56"/>
      <c r="D121" s="56" t="s">
        <v>18</v>
      </c>
      <c r="E121" s="50" t="s">
        <v>2</v>
      </c>
      <c r="F121" s="50" t="s">
        <v>295</v>
      </c>
      <c r="G121" s="56" t="s">
        <v>59</v>
      </c>
      <c r="H121" s="50" t="s">
        <v>30</v>
      </c>
      <c r="I121" s="50">
        <v>0</v>
      </c>
      <c r="J121" s="56" t="s">
        <v>31</v>
      </c>
      <c r="K121" s="56" t="s">
        <v>31</v>
      </c>
      <c r="L121" s="56" t="s">
        <v>31</v>
      </c>
      <c r="M121" s="56" t="s">
        <v>31</v>
      </c>
      <c r="N121" s="56" t="s">
        <v>31</v>
      </c>
      <c r="O121" s="50" t="s">
        <v>453</v>
      </c>
    </row>
    <row r="122" spans="1:20" ht="15.6">
      <c r="A122" s="56" t="str">
        <f>A71</f>
        <v>LiO battery pack dismantling, PEMFC-bat</v>
      </c>
      <c r="B122" s="56">
        <v>1</v>
      </c>
      <c r="C122" s="56"/>
      <c r="D122" s="56" t="s">
        <v>18</v>
      </c>
      <c r="E122" s="56" t="s">
        <v>2</v>
      </c>
      <c r="F122" s="50" t="s">
        <v>295</v>
      </c>
      <c r="G122" s="56" t="s">
        <v>35</v>
      </c>
      <c r="H122" s="50" t="s">
        <v>33</v>
      </c>
      <c r="I122" s="50">
        <v>1</v>
      </c>
      <c r="J122" s="56" t="s">
        <v>31</v>
      </c>
      <c r="K122" s="56" t="s">
        <v>31</v>
      </c>
      <c r="L122" s="56" t="s">
        <v>31</v>
      </c>
      <c r="M122" s="56" t="s">
        <v>31</v>
      </c>
      <c r="N122" s="56" t="s">
        <v>31</v>
      </c>
      <c r="O122" s="50" t="s">
        <v>454</v>
      </c>
    </row>
    <row r="123" spans="1:20" ht="15.6">
      <c r="A123" s="56" t="str">
        <f>A91</f>
        <v>Multi-step mechanical treatment of pyrolysed modules, LiO, PEMFC-bat</v>
      </c>
      <c r="B123" s="56">
        <v>1</v>
      </c>
      <c r="C123" s="56"/>
      <c r="D123" s="56" t="s">
        <v>18</v>
      </c>
      <c r="E123" s="50" t="s">
        <v>2</v>
      </c>
      <c r="F123" s="50" t="s">
        <v>295</v>
      </c>
      <c r="G123" s="56" t="s">
        <v>35</v>
      </c>
      <c r="H123" s="50" t="s">
        <v>33</v>
      </c>
      <c r="I123" s="50">
        <v>1</v>
      </c>
      <c r="J123" s="56" t="s">
        <v>31</v>
      </c>
      <c r="K123" s="56" t="s">
        <v>31</v>
      </c>
      <c r="L123" s="56" t="s">
        <v>31</v>
      </c>
      <c r="M123" s="56" t="s">
        <v>31</v>
      </c>
      <c r="N123" s="56" t="s">
        <v>31</v>
      </c>
    </row>
    <row r="124" spans="1:20" s="301" customFormat="1" ht="15.6">
      <c r="A124" s="56" t="str">
        <f>A104</f>
        <v>active material and cu/al fractions treatment, LiO, PEMFC-bat</v>
      </c>
      <c r="B124" s="56">
        <v>1</v>
      </c>
      <c r="C124" s="56"/>
      <c r="D124" s="56" t="s">
        <v>18</v>
      </c>
      <c r="E124" s="56" t="s">
        <v>2</v>
      </c>
      <c r="F124" s="56" t="s">
        <v>295</v>
      </c>
      <c r="G124" s="56" t="s">
        <v>59</v>
      </c>
      <c r="H124" s="50" t="s">
        <v>33</v>
      </c>
      <c r="I124" s="50">
        <v>1</v>
      </c>
      <c r="J124" s="56" t="s">
        <v>31</v>
      </c>
      <c r="K124" s="56" t="s">
        <v>31</v>
      </c>
      <c r="L124" s="56" t="s">
        <v>31</v>
      </c>
      <c r="M124" s="56" t="s">
        <v>31</v>
      </c>
      <c r="N124" s="56" t="s">
        <v>31</v>
      </c>
      <c r="O124" s="301" t="s">
        <v>455</v>
      </c>
      <c r="T124" s="50"/>
    </row>
    <row r="125" spans="1:20" ht="15.6">
      <c r="B125" s="300"/>
      <c r="C125" s="300"/>
      <c r="D125" s="300"/>
      <c r="E125" s="300"/>
      <c r="F125" s="300"/>
      <c r="G125" s="300"/>
      <c r="H125" s="301"/>
      <c r="I125" s="306"/>
      <c r="J125" s="306"/>
      <c r="K125" s="306"/>
      <c r="L125" s="306"/>
      <c r="M125" s="301"/>
      <c r="N125" s="301"/>
    </row>
    <row r="126" spans="1:20">
      <c r="H126" s="301"/>
    </row>
    <row r="127" spans="1:20">
      <c r="B127" s="297"/>
      <c r="C127" s="297"/>
      <c r="D127" s="297"/>
      <c r="E127" s="297"/>
      <c r="F127" s="297"/>
      <c r="G127" s="297"/>
      <c r="H127" s="301"/>
    </row>
    <row r="128" spans="1:20">
      <c r="G128" s="307"/>
    </row>
    <row r="129" spans="7:9">
      <c r="G129" s="307"/>
    </row>
    <row r="130" spans="7:9">
      <c r="G130" s="308"/>
      <c r="H130" s="308"/>
      <c r="I130" s="308"/>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3C2DD-452D-4810-9D18-FA72AC952FA2}">
  <dimension ref="A1:AB565"/>
  <sheetViews>
    <sheetView tabSelected="1" topLeftCell="A16" zoomScaleNormal="100" workbookViewId="0">
      <selection activeCell="D42" sqref="D42"/>
    </sheetView>
  </sheetViews>
  <sheetFormatPr defaultRowHeight="14.45"/>
  <cols>
    <col min="1" max="1" width="62.42578125" customWidth="1"/>
    <col min="2" max="2" width="15.85546875" customWidth="1"/>
    <col min="3" max="3" width="12.85546875" bestFit="1" customWidth="1"/>
    <col min="4" max="4" width="37.42578125" bestFit="1" customWidth="1"/>
    <col min="5" max="5" width="21.5703125" bestFit="1" customWidth="1"/>
    <col min="7" max="7" width="14.5703125" bestFit="1" customWidth="1"/>
    <col min="9" max="9" width="14.85546875" bestFit="1" customWidth="1"/>
    <col min="12" max="13" width="14.85546875" bestFit="1" customWidth="1"/>
    <col min="14" max="14" width="23.28515625" customWidth="1"/>
    <col min="17" max="17" width="15.85546875" bestFit="1" customWidth="1"/>
    <col min="20" max="20" width="14.5703125" bestFit="1" customWidth="1"/>
    <col min="23" max="23" width="16.42578125" bestFit="1" customWidth="1"/>
    <col min="25" max="25" width="14.85546875" bestFit="1" customWidth="1"/>
  </cols>
  <sheetData>
    <row r="1" spans="1:28">
      <c r="A1" s="59" t="s">
        <v>0</v>
      </c>
      <c r="B1" s="59">
        <v>13</v>
      </c>
    </row>
    <row r="2" spans="1:28" s="70" customFormat="1">
      <c r="A2" s="309" t="s">
        <v>5</v>
      </c>
      <c r="B2" s="123" t="s">
        <v>245</v>
      </c>
      <c r="C2" s="69"/>
    </row>
    <row r="3" spans="1:28">
      <c r="A3" s="71" t="s">
        <v>7</v>
      </c>
      <c r="B3" t="s">
        <v>456</v>
      </c>
      <c r="C3" s="72"/>
    </row>
    <row r="4" spans="1:28">
      <c r="A4" s="71" t="s">
        <v>9</v>
      </c>
      <c r="B4" s="310" t="s">
        <v>457</v>
      </c>
      <c r="C4" s="72"/>
    </row>
    <row r="5" spans="1:28" ht="72.599999999999994">
      <c r="A5" s="71" t="s">
        <v>11</v>
      </c>
      <c r="B5" s="73" t="s">
        <v>458</v>
      </c>
    </row>
    <row r="6" spans="1:28">
      <c r="A6" s="71" t="s">
        <v>13</v>
      </c>
      <c r="B6" t="s">
        <v>14</v>
      </c>
    </row>
    <row r="7" spans="1:28">
      <c r="A7" s="71" t="s">
        <v>15</v>
      </c>
      <c r="B7">
        <f>B12</f>
        <v>1</v>
      </c>
    </row>
    <row r="8" spans="1:28">
      <c r="A8" s="71" t="s">
        <v>16</v>
      </c>
      <c r="B8" t="s">
        <v>17</v>
      </c>
    </row>
    <row r="9" spans="1:28">
      <c r="A9" s="71" t="s">
        <v>18</v>
      </c>
      <c r="B9" t="str">
        <f>C12</f>
        <v>unit</v>
      </c>
    </row>
    <row r="10" spans="1:28">
      <c r="A10" s="311" t="s">
        <v>19</v>
      </c>
    </row>
    <row r="11" spans="1:28">
      <c r="A11" s="311" t="s">
        <v>20</v>
      </c>
      <c r="B11" s="131" t="s">
        <v>21</v>
      </c>
      <c r="C11" s="131" t="s">
        <v>18</v>
      </c>
      <c r="D11" s="131" t="s">
        <v>22</v>
      </c>
      <c r="E11" s="131" t="s">
        <v>7</v>
      </c>
      <c r="F11" s="131" t="s">
        <v>13</v>
      </c>
      <c r="G11" s="131" t="s">
        <v>16</v>
      </c>
      <c r="H11" s="131" t="s">
        <v>23</v>
      </c>
      <c r="I11" s="131" t="s">
        <v>24</v>
      </c>
      <c r="J11" s="131" t="s">
        <v>25</v>
      </c>
      <c r="K11" s="131" t="s">
        <v>26</v>
      </c>
      <c r="L11" s="131" t="s">
        <v>27</v>
      </c>
      <c r="M11" s="131" t="s">
        <v>28</v>
      </c>
    </row>
    <row r="12" spans="1:28" s="313" customFormat="1">
      <c r="A12" s="312" t="str">
        <f>B2</f>
        <v>production of PEMFC fuel cell plant unit, Long-Term, PEMFC-bat</v>
      </c>
      <c r="B12" s="313">
        <v>1</v>
      </c>
      <c r="C12" s="313" t="s">
        <v>18</v>
      </c>
      <c r="D12" s="313" t="s">
        <v>2</v>
      </c>
      <c r="E12" s="313" t="s">
        <v>456</v>
      </c>
      <c r="F12" s="313" t="s">
        <v>14</v>
      </c>
      <c r="G12" s="313" t="s">
        <v>30</v>
      </c>
      <c r="H12" s="313">
        <v>1</v>
      </c>
      <c r="I12" s="313">
        <v>1</v>
      </c>
      <c r="J12" s="313" t="s">
        <v>31</v>
      </c>
      <c r="K12" s="313" t="s">
        <v>31</v>
      </c>
      <c r="L12" s="313" t="s">
        <v>31</v>
      </c>
      <c r="M12" s="313" t="s">
        <v>31</v>
      </c>
      <c r="AB12" s="313" t="e">
        <f>M12-L12</f>
        <v>#VALUE!</v>
      </c>
    </row>
    <row r="13" spans="1:28">
      <c r="A13" s="71" t="str">
        <f>A24</f>
        <v>production of fuel cell system, Long-Term, PEMFC-bat</v>
      </c>
      <c r="B13">
        <v>4</v>
      </c>
      <c r="C13" t="s">
        <v>18</v>
      </c>
      <c r="D13" t="str">
        <f>D12</f>
        <v>GENESIS_2050_PEMFC-bat_Base</v>
      </c>
      <c r="E13" t="s">
        <v>456</v>
      </c>
      <c r="F13" t="s">
        <v>14</v>
      </c>
      <c r="G13" t="s">
        <v>33</v>
      </c>
      <c r="H13">
        <v>1</v>
      </c>
      <c r="I13">
        <v>1</v>
      </c>
      <c r="J13" t="s">
        <v>31</v>
      </c>
      <c r="K13" t="s">
        <v>31</v>
      </c>
      <c r="L13" t="s">
        <v>31</v>
      </c>
      <c r="M13" t="s">
        <v>31</v>
      </c>
      <c r="O13" t="s">
        <v>459</v>
      </c>
      <c r="AB13" s="313" t="e">
        <f t="shared" ref="AB13:AB76" si="0">M13-L13</f>
        <v>#VALUE!</v>
      </c>
    </row>
    <row r="14" spans="1:28" s="70" customFormat="1">
      <c r="A14" s="309" t="s">
        <v>5</v>
      </c>
      <c r="B14" s="123" t="s">
        <v>460</v>
      </c>
      <c r="C14" s="69"/>
      <c r="AB14" s="313">
        <f t="shared" si="0"/>
        <v>0</v>
      </c>
    </row>
    <row r="15" spans="1:28">
      <c r="A15" s="71" t="s">
        <v>7</v>
      </c>
      <c r="B15" t="s">
        <v>456</v>
      </c>
      <c r="C15" s="72"/>
      <c r="AB15" s="313">
        <f t="shared" si="0"/>
        <v>0</v>
      </c>
    </row>
    <row r="16" spans="1:28">
      <c r="A16" s="71" t="s">
        <v>9</v>
      </c>
      <c r="B16" s="310" t="s">
        <v>461</v>
      </c>
      <c r="C16" s="72"/>
      <c r="AB16" s="313">
        <f t="shared" si="0"/>
        <v>0</v>
      </c>
    </row>
    <row r="17" spans="1:28" ht="130.5">
      <c r="A17" s="71" t="s">
        <v>11</v>
      </c>
      <c r="B17" s="73" t="s">
        <v>462</v>
      </c>
      <c r="AB17" s="313">
        <f t="shared" si="0"/>
        <v>0</v>
      </c>
    </row>
    <row r="18" spans="1:28">
      <c r="A18" s="71" t="s">
        <v>13</v>
      </c>
      <c r="B18" t="s">
        <v>14</v>
      </c>
      <c r="AB18" s="313">
        <f t="shared" si="0"/>
        <v>0</v>
      </c>
    </row>
    <row r="19" spans="1:28">
      <c r="A19" s="71" t="s">
        <v>15</v>
      </c>
      <c r="B19">
        <v>1</v>
      </c>
      <c r="AB19" s="313">
        <f t="shared" si="0"/>
        <v>0</v>
      </c>
    </row>
    <row r="20" spans="1:28">
      <c r="A20" s="71" t="s">
        <v>16</v>
      </c>
      <c r="B20" t="s">
        <v>17</v>
      </c>
      <c r="AB20" s="313">
        <f t="shared" si="0"/>
        <v>0</v>
      </c>
    </row>
    <row r="21" spans="1:28">
      <c r="A21" s="71" t="s">
        <v>18</v>
      </c>
      <c r="B21" t="s">
        <v>18</v>
      </c>
      <c r="AB21" s="313">
        <f t="shared" si="0"/>
        <v>0</v>
      </c>
    </row>
    <row r="22" spans="1:28">
      <c r="A22" s="311" t="s">
        <v>19</v>
      </c>
      <c r="AB22" s="313">
        <f t="shared" si="0"/>
        <v>0</v>
      </c>
    </row>
    <row r="23" spans="1:28">
      <c r="A23" s="311" t="s">
        <v>20</v>
      </c>
      <c r="B23" s="131" t="s">
        <v>21</v>
      </c>
      <c r="C23" s="131" t="s">
        <v>18</v>
      </c>
      <c r="D23" s="131" t="s">
        <v>22</v>
      </c>
      <c r="E23" s="131" t="s">
        <v>7</v>
      </c>
      <c r="F23" s="131" t="s">
        <v>13</v>
      </c>
      <c r="G23" s="131" t="s">
        <v>16</v>
      </c>
      <c r="H23" s="131" t="s">
        <v>23</v>
      </c>
      <c r="I23" s="131" t="s">
        <v>24</v>
      </c>
      <c r="J23" s="131" t="s">
        <v>25</v>
      </c>
      <c r="K23" s="131" t="s">
        <v>26</v>
      </c>
      <c r="L23" s="131" t="s">
        <v>27</v>
      </c>
      <c r="M23" s="131" t="s">
        <v>28</v>
      </c>
      <c r="AB23" s="313" t="e">
        <f t="shared" si="0"/>
        <v>#VALUE!</v>
      </c>
    </row>
    <row r="24" spans="1:28" s="313" customFormat="1">
      <c r="A24" s="312" t="str">
        <f>B14</f>
        <v>production of fuel cell system, Long-Term, PEMFC-bat</v>
      </c>
      <c r="B24" s="313">
        <v>1</v>
      </c>
      <c r="C24" s="313" t="s">
        <v>18</v>
      </c>
      <c r="D24" s="313" t="s">
        <v>2</v>
      </c>
      <c r="E24" s="313" t="s">
        <v>456</v>
      </c>
      <c r="F24" s="313" t="s">
        <v>14</v>
      </c>
      <c r="G24" s="313" t="s">
        <v>30</v>
      </c>
      <c r="H24" s="313">
        <v>1</v>
      </c>
      <c r="I24" s="313">
        <v>1</v>
      </c>
      <c r="J24" s="313" t="s">
        <v>31</v>
      </c>
      <c r="K24" s="313" t="s">
        <v>31</v>
      </c>
      <c r="L24" s="313" t="s">
        <v>31</v>
      </c>
      <c r="M24" s="313" t="s">
        <v>31</v>
      </c>
      <c r="N24" s="313" t="s">
        <v>463</v>
      </c>
      <c r="O24" s="314" t="s">
        <v>464</v>
      </c>
      <c r="P24" s="315" t="s">
        <v>465</v>
      </c>
      <c r="Q24" s="315" t="s">
        <v>21</v>
      </c>
      <c r="R24" s="316" t="s">
        <v>466</v>
      </c>
      <c r="T24" s="315" t="s">
        <v>467</v>
      </c>
      <c r="AB24" s="313" t="e">
        <f t="shared" si="0"/>
        <v>#VALUE!</v>
      </c>
    </row>
    <row r="25" spans="1:28">
      <c r="A25" t="s">
        <v>468</v>
      </c>
      <c r="B25">
        <f>R25</f>
        <v>2</v>
      </c>
      <c r="C25" s="313" t="s">
        <v>18</v>
      </c>
      <c r="D25" t="s">
        <v>2</v>
      </c>
      <c r="E25" t="s">
        <v>456</v>
      </c>
      <c r="F25" t="s">
        <v>59</v>
      </c>
      <c r="G25" t="s">
        <v>33</v>
      </c>
      <c r="H25">
        <v>5</v>
      </c>
      <c r="I25">
        <f>B25</f>
        <v>2</v>
      </c>
      <c r="J25" t="s">
        <v>31</v>
      </c>
      <c r="K25" t="s">
        <v>31</v>
      </c>
      <c r="L25">
        <f>$I$25-1</f>
        <v>1</v>
      </c>
      <c r="M25">
        <f>$I$25+1</f>
        <v>3</v>
      </c>
      <c r="O25" s="317">
        <v>1</v>
      </c>
      <c r="P25">
        <v>1</v>
      </c>
      <c r="Q25">
        <v>2</v>
      </c>
      <c r="R25" s="318">
        <f>(Q25/P25)*O25</f>
        <v>2</v>
      </c>
      <c r="T25" t="s">
        <v>469</v>
      </c>
      <c r="U25" t="s">
        <v>470</v>
      </c>
      <c r="AB25" s="313">
        <f t="shared" si="0"/>
        <v>2</v>
      </c>
    </row>
    <row r="26" spans="1:28">
      <c r="A26" t="s">
        <v>471</v>
      </c>
      <c r="B26">
        <f t="shared" ref="B26:B34" si="1">R26</f>
        <v>0.52631578947368418</v>
      </c>
      <c r="C26" s="313" t="s">
        <v>18</v>
      </c>
      <c r="D26" t="s">
        <v>2</v>
      </c>
      <c r="E26" t="s">
        <v>456</v>
      </c>
      <c r="F26" t="s">
        <v>59</v>
      </c>
      <c r="G26" t="s">
        <v>33</v>
      </c>
      <c r="H26">
        <v>5</v>
      </c>
      <c r="I26">
        <f>B26</f>
        <v>0.52631578947368418</v>
      </c>
      <c r="J26" t="s">
        <v>31</v>
      </c>
      <c r="K26" t="s">
        <v>31</v>
      </c>
      <c r="L26">
        <f>$B26</f>
        <v>0.52631578947368418</v>
      </c>
      <c r="M26">
        <f>$B26+2</f>
        <v>2.5263157894736841</v>
      </c>
      <c r="O26" s="319">
        <v>0.5</v>
      </c>
      <c r="P26">
        <v>0.95</v>
      </c>
      <c r="Q26">
        <v>1</v>
      </c>
      <c r="R26" s="318">
        <f>(Q26/P26)*O26</f>
        <v>0.52631578947368418</v>
      </c>
      <c r="T26" t="s">
        <v>472</v>
      </c>
      <c r="U26" t="s">
        <v>473</v>
      </c>
      <c r="AB26" s="313">
        <f t="shared" si="0"/>
        <v>2</v>
      </c>
    </row>
    <row r="27" spans="1:28">
      <c r="A27" t="s">
        <v>474</v>
      </c>
      <c r="B27">
        <f t="shared" si="1"/>
        <v>0.5</v>
      </c>
      <c r="C27" s="313" t="s">
        <v>18</v>
      </c>
      <c r="D27" t="s">
        <v>2</v>
      </c>
      <c r="E27" t="s">
        <v>456</v>
      </c>
      <c r="F27" t="s">
        <v>59</v>
      </c>
      <c r="G27" t="s">
        <v>33</v>
      </c>
      <c r="H27">
        <v>5</v>
      </c>
      <c r="I27">
        <f t="shared" ref="I27:I37" si="2">B27</f>
        <v>0.5</v>
      </c>
      <c r="J27" t="s">
        <v>31</v>
      </c>
      <c r="K27" t="s">
        <v>31</v>
      </c>
      <c r="L27">
        <f>$B27</f>
        <v>0.5</v>
      </c>
      <c r="M27">
        <f>$B27+1</f>
        <v>1.5</v>
      </c>
      <c r="N27" t="s">
        <v>475</v>
      </c>
      <c r="O27" s="319">
        <v>0.5</v>
      </c>
      <c r="P27">
        <v>1</v>
      </c>
      <c r="Q27">
        <v>1</v>
      </c>
      <c r="R27" s="318">
        <f t="shared" ref="R27:R39" si="3">(Q27/P27)*O27</f>
        <v>0.5</v>
      </c>
      <c r="T27" t="s">
        <v>476</v>
      </c>
      <c r="U27" t="s">
        <v>477</v>
      </c>
      <c r="AB27" s="313">
        <f t="shared" si="0"/>
        <v>1</v>
      </c>
    </row>
    <row r="28" spans="1:28">
      <c r="A28" t="s">
        <v>478</v>
      </c>
      <c r="B28">
        <f t="shared" si="1"/>
        <v>2</v>
      </c>
      <c r="C28" s="313" t="s">
        <v>18</v>
      </c>
      <c r="D28" t="s">
        <v>2</v>
      </c>
      <c r="E28" t="s">
        <v>456</v>
      </c>
      <c r="F28" t="s">
        <v>59</v>
      </c>
      <c r="G28" t="s">
        <v>33</v>
      </c>
      <c r="H28">
        <v>5</v>
      </c>
      <c r="I28">
        <f t="shared" si="2"/>
        <v>2</v>
      </c>
      <c r="J28" t="s">
        <v>31</v>
      </c>
      <c r="K28" t="s">
        <v>31</v>
      </c>
      <c r="L28">
        <f>B28-1</f>
        <v>1</v>
      </c>
      <c r="M28">
        <f>B28+1</f>
        <v>3</v>
      </c>
      <c r="O28" s="319">
        <v>1</v>
      </c>
      <c r="P28">
        <v>1</v>
      </c>
      <c r="Q28">
        <v>2</v>
      </c>
      <c r="R28" s="318">
        <f t="shared" si="3"/>
        <v>2</v>
      </c>
      <c r="T28" t="s">
        <v>469</v>
      </c>
      <c r="U28" t="s">
        <v>479</v>
      </c>
      <c r="AB28" s="313">
        <f t="shared" si="0"/>
        <v>2</v>
      </c>
    </row>
    <row r="29" spans="1:28">
      <c r="A29" t="s">
        <v>480</v>
      </c>
      <c r="B29">
        <f t="shared" si="1"/>
        <v>2</v>
      </c>
      <c r="C29" s="313" t="s">
        <v>18</v>
      </c>
      <c r="D29" t="s">
        <v>2</v>
      </c>
      <c r="E29" t="s">
        <v>456</v>
      </c>
      <c r="F29" t="s">
        <v>59</v>
      </c>
      <c r="G29" t="s">
        <v>33</v>
      </c>
      <c r="H29">
        <v>5</v>
      </c>
      <c r="I29">
        <f t="shared" si="2"/>
        <v>2</v>
      </c>
      <c r="J29" t="s">
        <v>31</v>
      </c>
      <c r="K29" t="s">
        <v>31</v>
      </c>
      <c r="L29">
        <f t="shared" ref="L29:L31" si="4">B29-1</f>
        <v>1</v>
      </c>
      <c r="M29">
        <f t="shared" ref="M29:M31" si="5">B29+1</f>
        <v>3</v>
      </c>
      <c r="O29" s="319">
        <v>1</v>
      </c>
      <c r="P29">
        <v>1</v>
      </c>
      <c r="Q29">
        <v>2</v>
      </c>
      <c r="R29" s="318">
        <f t="shared" si="3"/>
        <v>2</v>
      </c>
      <c r="T29" t="s">
        <v>469</v>
      </c>
      <c r="U29" t="s">
        <v>481</v>
      </c>
      <c r="AB29" s="313">
        <f t="shared" si="0"/>
        <v>2</v>
      </c>
    </row>
    <row r="30" spans="1:28">
      <c r="A30" t="s">
        <v>482</v>
      </c>
      <c r="B30">
        <f t="shared" si="1"/>
        <v>0.5</v>
      </c>
      <c r="C30" s="313" t="s">
        <v>18</v>
      </c>
      <c r="D30" t="s">
        <v>2</v>
      </c>
      <c r="E30" t="s">
        <v>456</v>
      </c>
      <c r="F30" t="s">
        <v>59</v>
      </c>
      <c r="G30" t="s">
        <v>33</v>
      </c>
      <c r="H30">
        <v>5</v>
      </c>
      <c r="I30">
        <f t="shared" si="2"/>
        <v>0.5</v>
      </c>
      <c r="J30" t="s">
        <v>31</v>
      </c>
      <c r="K30" t="s">
        <v>31</v>
      </c>
      <c r="L30">
        <f t="shared" si="4"/>
        <v>-0.5</v>
      </c>
      <c r="M30">
        <f t="shared" si="5"/>
        <v>1.5</v>
      </c>
      <c r="O30" s="319">
        <v>0.5</v>
      </c>
      <c r="P30">
        <v>1</v>
      </c>
      <c r="Q30">
        <v>1</v>
      </c>
      <c r="R30" s="318">
        <f t="shared" si="3"/>
        <v>0.5</v>
      </c>
      <c r="T30" t="s">
        <v>469</v>
      </c>
      <c r="U30" t="s">
        <v>483</v>
      </c>
      <c r="AB30" s="313">
        <f t="shared" si="0"/>
        <v>2</v>
      </c>
    </row>
    <row r="31" spans="1:28">
      <c r="A31" t="s">
        <v>484</v>
      </c>
      <c r="B31">
        <f t="shared" si="1"/>
        <v>2</v>
      </c>
      <c r="C31" s="313" t="s">
        <v>18</v>
      </c>
      <c r="D31" t="s">
        <v>2</v>
      </c>
      <c r="E31" t="s">
        <v>456</v>
      </c>
      <c r="F31" t="s">
        <v>59</v>
      </c>
      <c r="G31" t="s">
        <v>33</v>
      </c>
      <c r="H31">
        <v>5</v>
      </c>
      <c r="I31">
        <f t="shared" si="2"/>
        <v>2</v>
      </c>
      <c r="J31" t="s">
        <v>31</v>
      </c>
      <c r="K31" t="s">
        <v>31</v>
      </c>
      <c r="L31">
        <f t="shared" si="4"/>
        <v>1</v>
      </c>
      <c r="M31">
        <f t="shared" si="5"/>
        <v>3</v>
      </c>
      <c r="O31" s="319">
        <v>2</v>
      </c>
      <c r="P31">
        <v>1</v>
      </c>
      <c r="Q31">
        <v>1</v>
      </c>
      <c r="R31" s="318">
        <f t="shared" si="3"/>
        <v>2</v>
      </c>
      <c r="T31" t="s">
        <v>469</v>
      </c>
      <c r="U31" t="s">
        <v>485</v>
      </c>
      <c r="AB31" s="313">
        <f t="shared" si="0"/>
        <v>2</v>
      </c>
    </row>
    <row r="32" spans="1:28">
      <c r="A32" t="s">
        <v>486</v>
      </c>
      <c r="B32">
        <f t="shared" si="1"/>
        <v>1.0526315789473684</v>
      </c>
      <c r="C32" s="313" t="s">
        <v>18</v>
      </c>
      <c r="D32" t="s">
        <v>2</v>
      </c>
      <c r="E32" t="s">
        <v>456</v>
      </c>
      <c r="F32" t="s">
        <v>59</v>
      </c>
      <c r="G32" t="s">
        <v>33</v>
      </c>
      <c r="H32">
        <v>5</v>
      </c>
      <c r="I32">
        <f t="shared" si="2"/>
        <v>1.0526315789473684</v>
      </c>
      <c r="J32" t="s">
        <v>31</v>
      </c>
      <c r="K32" t="s">
        <v>31</v>
      </c>
      <c r="L32">
        <f>B32-0.5*B32</f>
        <v>0.52631578947368418</v>
      </c>
      <c r="M32">
        <f>B32+0.5*B32</f>
        <v>1.5789473684210527</v>
      </c>
      <c r="O32" s="319">
        <v>0.5</v>
      </c>
      <c r="P32">
        <v>0.95</v>
      </c>
      <c r="Q32">
        <v>2</v>
      </c>
      <c r="R32" s="318">
        <f t="shared" si="3"/>
        <v>1.0526315789473684</v>
      </c>
      <c r="T32" t="s">
        <v>487</v>
      </c>
      <c r="U32" t="s">
        <v>488</v>
      </c>
      <c r="AB32" s="313">
        <f t="shared" si="0"/>
        <v>1.0526315789473686</v>
      </c>
    </row>
    <row r="33" spans="1:28">
      <c r="A33" t="s">
        <v>489</v>
      </c>
      <c r="B33">
        <f t="shared" si="1"/>
        <v>0.51020408163265307</v>
      </c>
      <c r="C33" s="313" t="s">
        <v>18</v>
      </c>
      <c r="D33" t="s">
        <v>2</v>
      </c>
      <c r="E33" t="s">
        <v>456</v>
      </c>
      <c r="F33" t="s">
        <v>59</v>
      </c>
      <c r="G33" t="s">
        <v>33</v>
      </c>
      <c r="H33">
        <v>5</v>
      </c>
      <c r="I33">
        <f t="shared" si="2"/>
        <v>0.51020408163265307</v>
      </c>
      <c r="J33" t="s">
        <v>31</v>
      </c>
      <c r="K33" t="s">
        <v>31</v>
      </c>
      <c r="L33">
        <f>B33-0.3*B33</f>
        <v>0.35714285714285715</v>
      </c>
      <c r="M33">
        <f>B33+0.3*B33</f>
        <v>0.66326530612244894</v>
      </c>
      <c r="O33" s="319">
        <v>0.5</v>
      </c>
      <c r="P33">
        <v>0.98</v>
      </c>
      <c r="Q33">
        <v>1</v>
      </c>
      <c r="R33" s="318">
        <f t="shared" si="3"/>
        <v>0.51020408163265307</v>
      </c>
      <c r="T33" t="s">
        <v>490</v>
      </c>
      <c r="U33" t="s">
        <v>491</v>
      </c>
      <c r="AB33" s="313">
        <f t="shared" si="0"/>
        <v>0.30612244897959179</v>
      </c>
    </row>
    <row r="34" spans="1:28">
      <c r="A34" t="s">
        <v>492</v>
      </c>
      <c r="B34">
        <f t="shared" si="1"/>
        <v>0.52631578947368418</v>
      </c>
      <c r="C34" s="313" t="s">
        <v>18</v>
      </c>
      <c r="D34" t="s">
        <v>2</v>
      </c>
      <c r="E34" t="s">
        <v>456</v>
      </c>
      <c r="F34" t="s">
        <v>59</v>
      </c>
      <c r="G34" t="s">
        <v>33</v>
      </c>
      <c r="H34">
        <v>5</v>
      </c>
      <c r="I34">
        <f t="shared" si="2"/>
        <v>0.52631578947368418</v>
      </c>
      <c r="J34" t="s">
        <v>31</v>
      </c>
      <c r="K34" t="s">
        <v>31</v>
      </c>
      <c r="L34">
        <f t="shared" ref="L34:L39" si="6">B34-0.5*B34</f>
        <v>0.26315789473684209</v>
      </c>
      <c r="M34">
        <f t="shared" ref="M34:M39" si="7">B34+0.5*B34</f>
        <v>0.78947368421052633</v>
      </c>
      <c r="O34" s="319">
        <v>0.5</v>
      </c>
      <c r="P34">
        <v>0.95</v>
      </c>
      <c r="Q34">
        <v>1</v>
      </c>
      <c r="R34" s="318">
        <f t="shared" si="3"/>
        <v>0.52631578947368418</v>
      </c>
      <c r="T34" t="s">
        <v>487</v>
      </c>
      <c r="U34" t="s">
        <v>493</v>
      </c>
      <c r="AB34" s="313">
        <f t="shared" si="0"/>
        <v>0.52631578947368429</v>
      </c>
    </row>
    <row r="35" spans="1:28">
      <c r="A35" t="s">
        <v>269</v>
      </c>
      <c r="B35">
        <f>Q35</f>
        <v>-840</v>
      </c>
      <c r="C35" t="s">
        <v>39</v>
      </c>
      <c r="D35" t="s">
        <v>40</v>
      </c>
      <c r="E35" t="s">
        <v>456</v>
      </c>
      <c r="F35" t="s">
        <v>59</v>
      </c>
      <c r="G35" t="s">
        <v>33</v>
      </c>
      <c r="H35">
        <v>5</v>
      </c>
      <c r="I35">
        <f t="shared" si="2"/>
        <v>-840</v>
      </c>
      <c r="J35" t="s">
        <v>31</v>
      </c>
      <c r="K35" t="s">
        <v>31</v>
      </c>
      <c r="L35">
        <f>B35+0.5*B35</f>
        <v>-1260</v>
      </c>
      <c r="M35">
        <f>B35-0.5*B35</f>
        <v>-420</v>
      </c>
      <c r="O35" s="319">
        <v>1</v>
      </c>
      <c r="P35">
        <v>1</v>
      </c>
      <c r="Q35">
        <v>-840</v>
      </c>
      <c r="R35" s="318">
        <f t="shared" si="3"/>
        <v>-840</v>
      </c>
      <c r="T35" t="s">
        <v>487</v>
      </c>
      <c r="AB35" s="313">
        <f t="shared" si="0"/>
        <v>840</v>
      </c>
    </row>
    <row r="36" spans="1:28">
      <c r="A36" s="22" t="s">
        <v>70</v>
      </c>
      <c r="B36">
        <f>Q36</f>
        <v>-2016</v>
      </c>
      <c r="C36" t="s">
        <v>71</v>
      </c>
      <c r="D36" t="s">
        <v>40</v>
      </c>
      <c r="E36" t="s">
        <v>456</v>
      </c>
      <c r="F36" t="s">
        <v>59</v>
      </c>
      <c r="G36" t="s">
        <v>33</v>
      </c>
      <c r="H36">
        <v>5</v>
      </c>
      <c r="I36">
        <f t="shared" si="2"/>
        <v>-2016</v>
      </c>
      <c r="J36" t="s">
        <v>31</v>
      </c>
      <c r="K36" t="s">
        <v>31</v>
      </c>
      <c r="L36">
        <f>B36+0.5*B36</f>
        <v>-3024</v>
      </c>
      <c r="M36">
        <f>B36-0.5*B36</f>
        <v>-1008</v>
      </c>
      <c r="O36" s="319">
        <v>1</v>
      </c>
      <c r="P36">
        <v>1</v>
      </c>
      <c r="Q36">
        <v>-2016</v>
      </c>
      <c r="R36" s="318">
        <f t="shared" si="3"/>
        <v>-2016</v>
      </c>
      <c r="T36" t="s">
        <v>487</v>
      </c>
      <c r="AB36" s="313">
        <f t="shared" si="0"/>
        <v>2016</v>
      </c>
    </row>
    <row r="37" spans="1:28">
      <c r="A37" s="88" t="s">
        <v>494</v>
      </c>
      <c r="B37">
        <f>Q37</f>
        <v>16.724999999999998</v>
      </c>
      <c r="C37" t="s">
        <v>37</v>
      </c>
      <c r="D37" t="s">
        <v>40</v>
      </c>
      <c r="E37" t="s">
        <v>456</v>
      </c>
      <c r="F37" t="s">
        <v>59</v>
      </c>
      <c r="G37" t="s">
        <v>33</v>
      </c>
      <c r="H37">
        <v>5</v>
      </c>
      <c r="I37">
        <f t="shared" si="2"/>
        <v>16.724999999999998</v>
      </c>
      <c r="J37" t="s">
        <v>31</v>
      </c>
      <c r="K37" t="s">
        <v>31</v>
      </c>
      <c r="L37">
        <f t="shared" si="6"/>
        <v>8.3624999999999989</v>
      </c>
      <c r="M37">
        <f t="shared" si="7"/>
        <v>25.087499999999999</v>
      </c>
      <c r="N37" t="s">
        <v>495</v>
      </c>
      <c r="O37" s="319">
        <v>1</v>
      </c>
      <c r="P37">
        <v>1</v>
      </c>
      <c r="Q37">
        <f>15*0.001*1115</f>
        <v>16.724999999999998</v>
      </c>
      <c r="R37" s="318">
        <f t="shared" si="3"/>
        <v>16.724999999999998</v>
      </c>
      <c r="T37" t="s">
        <v>487</v>
      </c>
      <c r="AB37" s="313">
        <f t="shared" si="0"/>
        <v>16.725000000000001</v>
      </c>
    </row>
    <row r="38" spans="1:28">
      <c r="A38" s="88" t="s">
        <v>496</v>
      </c>
      <c r="B38">
        <f>R38</f>
        <v>42</v>
      </c>
      <c r="C38" t="s">
        <v>37</v>
      </c>
      <c r="D38" t="s">
        <v>40</v>
      </c>
      <c r="E38" t="s">
        <v>456</v>
      </c>
      <c r="F38" t="s">
        <v>59</v>
      </c>
      <c r="G38" t="s">
        <v>33</v>
      </c>
      <c r="H38">
        <v>5</v>
      </c>
      <c r="I38">
        <f>B38</f>
        <v>42</v>
      </c>
      <c r="J38" t="s">
        <v>31</v>
      </c>
      <c r="K38" t="s">
        <v>31</v>
      </c>
      <c r="L38">
        <f t="shared" si="6"/>
        <v>21</v>
      </c>
      <c r="M38">
        <f t="shared" si="7"/>
        <v>63</v>
      </c>
      <c r="N38" t="s">
        <v>497</v>
      </c>
      <c r="O38" s="319">
        <v>1</v>
      </c>
      <c r="P38">
        <v>1</v>
      </c>
      <c r="Q38">
        <v>42</v>
      </c>
      <c r="R38" s="318">
        <f t="shared" si="3"/>
        <v>42</v>
      </c>
      <c r="T38" t="s">
        <v>487</v>
      </c>
      <c r="AB38" s="313">
        <f t="shared" si="0"/>
        <v>42</v>
      </c>
    </row>
    <row r="39" spans="1:28">
      <c r="A39" s="88" t="s">
        <v>202</v>
      </c>
      <c r="B39">
        <f>R39</f>
        <v>1.4999999999999999E-2</v>
      </c>
      <c r="C39" t="s">
        <v>37</v>
      </c>
      <c r="D39" t="s">
        <v>40</v>
      </c>
      <c r="E39" t="s">
        <v>456</v>
      </c>
      <c r="F39" t="s">
        <v>82</v>
      </c>
      <c r="G39" t="s">
        <v>33</v>
      </c>
      <c r="H39">
        <v>5</v>
      </c>
      <c r="I39">
        <f>B39</f>
        <v>1.4999999999999999E-2</v>
      </c>
      <c r="J39" t="s">
        <v>31</v>
      </c>
      <c r="K39" t="s">
        <v>31</v>
      </c>
      <c r="L39">
        <f t="shared" si="6"/>
        <v>7.4999999999999997E-3</v>
      </c>
      <c r="M39">
        <f t="shared" si="7"/>
        <v>2.2499999999999999E-2</v>
      </c>
      <c r="N39" t="s">
        <v>498</v>
      </c>
      <c r="O39" s="319">
        <v>1</v>
      </c>
      <c r="P39">
        <v>1</v>
      </c>
      <c r="Q39">
        <v>1.4999999999999999E-2</v>
      </c>
      <c r="R39" s="318">
        <f t="shared" si="3"/>
        <v>1.4999999999999999E-2</v>
      </c>
      <c r="T39" t="s">
        <v>487</v>
      </c>
      <c r="AB39" s="313">
        <f t="shared" si="0"/>
        <v>1.4999999999999999E-2</v>
      </c>
    </row>
    <row r="40" spans="1:28" s="70" customFormat="1">
      <c r="A40" s="309" t="s">
        <v>5</v>
      </c>
      <c r="B40" s="123" t="s">
        <v>468</v>
      </c>
      <c r="C40" s="69"/>
      <c r="AB40" s="313">
        <f t="shared" si="0"/>
        <v>0</v>
      </c>
    </row>
    <row r="41" spans="1:28">
      <c r="A41" s="71" t="s">
        <v>7</v>
      </c>
      <c r="B41" t="s">
        <v>456</v>
      </c>
      <c r="C41" s="72"/>
      <c r="AB41" s="313">
        <f t="shared" si="0"/>
        <v>0</v>
      </c>
    </row>
    <row r="42" spans="1:28">
      <c r="A42" s="71" t="s">
        <v>9</v>
      </c>
      <c r="B42" s="310" t="s">
        <v>499</v>
      </c>
      <c r="C42" s="72"/>
      <c r="AB42" s="313">
        <f t="shared" si="0"/>
        <v>0</v>
      </c>
    </row>
    <row r="43" spans="1:28" ht="50.25" customHeight="1">
      <c r="A43" s="71" t="s">
        <v>11</v>
      </c>
      <c r="B43" s="320" t="s">
        <v>500</v>
      </c>
      <c r="AB43" s="313">
        <f t="shared" si="0"/>
        <v>0</v>
      </c>
    </row>
    <row r="44" spans="1:28">
      <c r="A44" s="71" t="s">
        <v>13</v>
      </c>
      <c r="B44" t="s">
        <v>59</v>
      </c>
      <c r="AB44" s="313">
        <f t="shared" si="0"/>
        <v>0</v>
      </c>
    </row>
    <row r="45" spans="1:28">
      <c r="A45" s="71" t="s">
        <v>15</v>
      </c>
      <c r="B45">
        <v>1</v>
      </c>
      <c r="AB45" s="313">
        <f t="shared" si="0"/>
        <v>0</v>
      </c>
    </row>
    <row r="46" spans="1:28">
      <c r="A46" s="71" t="s">
        <v>16</v>
      </c>
      <c r="B46" t="s">
        <v>17</v>
      </c>
      <c r="AB46" s="313">
        <f t="shared" si="0"/>
        <v>0</v>
      </c>
    </row>
    <row r="47" spans="1:28">
      <c r="A47" s="71" t="s">
        <v>18</v>
      </c>
      <c r="B47" t="str">
        <f>C50</f>
        <v>unit</v>
      </c>
      <c r="AB47" s="313">
        <f t="shared" si="0"/>
        <v>0</v>
      </c>
    </row>
    <row r="48" spans="1:28">
      <c r="A48" s="311" t="s">
        <v>19</v>
      </c>
      <c r="AB48" s="313">
        <f t="shared" si="0"/>
        <v>0</v>
      </c>
    </row>
    <row r="49" spans="1:28">
      <c r="A49" s="311" t="s">
        <v>20</v>
      </c>
      <c r="B49" s="131" t="s">
        <v>21</v>
      </c>
      <c r="C49" s="131" t="s">
        <v>18</v>
      </c>
      <c r="D49" s="131" t="s">
        <v>22</v>
      </c>
      <c r="E49" s="131" t="s">
        <v>7</v>
      </c>
      <c r="F49" s="131" t="s">
        <v>13</v>
      </c>
      <c r="G49" s="131" t="s">
        <v>16</v>
      </c>
      <c r="H49" s="131" t="s">
        <v>23</v>
      </c>
      <c r="I49" s="131" t="s">
        <v>24</v>
      </c>
      <c r="J49" s="131" t="s">
        <v>25</v>
      </c>
      <c r="K49" s="131" t="s">
        <v>26</v>
      </c>
      <c r="L49" s="131" t="s">
        <v>27</v>
      </c>
      <c r="M49" s="131" t="s">
        <v>28</v>
      </c>
      <c r="AB49" s="313" t="e">
        <f t="shared" si="0"/>
        <v>#VALUE!</v>
      </c>
    </row>
    <row r="50" spans="1:28" s="313" customFormat="1">
      <c r="A50" s="312" t="str">
        <f>B40</f>
        <v>production of fuel cell stack</v>
      </c>
      <c r="B50" s="313">
        <v>1</v>
      </c>
      <c r="C50" s="313" t="s">
        <v>18</v>
      </c>
      <c r="D50" s="313" t="s">
        <v>2</v>
      </c>
      <c r="E50" s="313" t="s">
        <v>456</v>
      </c>
      <c r="F50" s="313" t="s">
        <v>59</v>
      </c>
      <c r="G50" s="313" t="s">
        <v>30</v>
      </c>
      <c r="H50" s="313">
        <v>1</v>
      </c>
      <c r="I50" s="313">
        <v>1</v>
      </c>
      <c r="J50" s="313" t="s">
        <v>31</v>
      </c>
      <c r="K50" s="313" t="s">
        <v>31</v>
      </c>
      <c r="L50" s="313" t="s">
        <v>31</v>
      </c>
      <c r="M50" s="313" t="s">
        <v>31</v>
      </c>
      <c r="O50" s="314" t="s">
        <v>464</v>
      </c>
      <c r="P50" s="315" t="s">
        <v>465</v>
      </c>
      <c r="Q50" s="315" t="s">
        <v>21</v>
      </c>
      <c r="R50" s="316" t="s">
        <v>466</v>
      </c>
      <c r="T50" s="315" t="s">
        <v>467</v>
      </c>
      <c r="AB50" s="313" t="e">
        <f t="shared" si="0"/>
        <v>#VALUE!</v>
      </c>
    </row>
    <row r="51" spans="1:28">
      <c r="A51" s="205" t="s">
        <v>501</v>
      </c>
      <c r="B51">
        <f>R51</f>
        <v>206.18556701030928</v>
      </c>
      <c r="C51" s="313" t="s">
        <v>18</v>
      </c>
      <c r="D51" t="s">
        <v>2</v>
      </c>
      <c r="E51" t="s">
        <v>456</v>
      </c>
      <c r="F51" t="s">
        <v>14</v>
      </c>
      <c r="G51" t="s">
        <v>33</v>
      </c>
      <c r="H51">
        <v>1</v>
      </c>
      <c r="I51">
        <f>B51</f>
        <v>206.18556701030928</v>
      </c>
      <c r="J51" t="s">
        <v>31</v>
      </c>
      <c r="K51" t="s">
        <v>31</v>
      </c>
      <c r="L51" t="s">
        <v>31</v>
      </c>
      <c r="M51" t="s">
        <v>31</v>
      </c>
      <c r="O51" s="317">
        <v>0.5</v>
      </c>
      <c r="P51">
        <v>0.97</v>
      </c>
      <c r="Q51">
        <v>400</v>
      </c>
      <c r="R51" s="318">
        <f>(Q51/P51)*O51</f>
        <v>206.18556701030928</v>
      </c>
      <c r="T51" s="321" t="e">
        <f>[1]Use!T24</f>
        <v>#REF!</v>
      </c>
      <c r="U51" t="s">
        <v>502</v>
      </c>
      <c r="AB51" s="313" t="e">
        <f t="shared" si="0"/>
        <v>#VALUE!</v>
      </c>
    </row>
    <row r="52" spans="1:28">
      <c r="A52" s="205" t="s">
        <v>503</v>
      </c>
      <c r="B52">
        <f t="shared" ref="B52:B57" si="8">R52</f>
        <v>206.18556701030928</v>
      </c>
      <c r="C52" s="313" t="s">
        <v>18</v>
      </c>
      <c r="D52" t="s">
        <v>2</v>
      </c>
      <c r="E52" t="s">
        <v>456</v>
      </c>
      <c r="F52" t="s">
        <v>14</v>
      </c>
      <c r="G52" t="s">
        <v>33</v>
      </c>
      <c r="H52">
        <v>5</v>
      </c>
      <c r="I52">
        <f t="shared" ref="I52:I61" si="9">B52</f>
        <v>206.18556701030928</v>
      </c>
      <c r="J52" t="s">
        <v>31</v>
      </c>
      <c r="K52" t="s">
        <v>31</v>
      </c>
      <c r="L52">
        <f>B52-0.5*B52</f>
        <v>103.09278350515464</v>
      </c>
      <c r="M52">
        <f t="shared" ref="M52" si="10">B52+0.5*B52</f>
        <v>309.2783505154639</v>
      </c>
      <c r="O52" s="317">
        <v>0.5</v>
      </c>
      <c r="P52">
        <v>0.97</v>
      </c>
      <c r="Q52">
        <v>400</v>
      </c>
      <c r="R52" s="318">
        <f t="shared" ref="R52:R63" si="11">(Q52/P52)*O52</f>
        <v>206.18556701030928</v>
      </c>
      <c r="T52" s="322" t="s">
        <v>504</v>
      </c>
      <c r="U52" t="s">
        <v>505</v>
      </c>
      <c r="AB52" s="313">
        <f t="shared" si="0"/>
        <v>206.18556701030926</v>
      </c>
    </row>
    <row r="53" spans="1:28">
      <c r="A53" s="24" t="s">
        <v>506</v>
      </c>
      <c r="B53">
        <f t="shared" si="8"/>
        <v>1.0101010101010102</v>
      </c>
      <c r="C53" s="313" t="s">
        <v>18</v>
      </c>
      <c r="D53" t="s">
        <v>2</v>
      </c>
      <c r="E53" t="s">
        <v>456</v>
      </c>
      <c r="F53" t="s">
        <v>14</v>
      </c>
      <c r="G53" t="s">
        <v>33</v>
      </c>
      <c r="H53">
        <v>1</v>
      </c>
      <c r="I53">
        <f t="shared" si="9"/>
        <v>1.0101010101010102</v>
      </c>
      <c r="J53" t="s">
        <v>31</v>
      </c>
      <c r="K53" t="s">
        <v>31</v>
      </c>
      <c r="L53" s="313" t="s">
        <v>31</v>
      </c>
      <c r="M53" s="313" t="s">
        <v>31</v>
      </c>
      <c r="O53" s="317">
        <v>0.5</v>
      </c>
      <c r="P53">
        <v>0.99</v>
      </c>
      <c r="Q53">
        <v>2</v>
      </c>
      <c r="R53" s="318">
        <f t="shared" si="11"/>
        <v>1.0101010101010102</v>
      </c>
      <c r="T53" s="321">
        <v>0</v>
      </c>
      <c r="U53" t="s">
        <v>507</v>
      </c>
      <c r="AB53" s="313" t="e">
        <f t="shared" si="0"/>
        <v>#VALUE!</v>
      </c>
    </row>
    <row r="54" spans="1:28">
      <c r="A54" s="205" t="s">
        <v>508</v>
      </c>
      <c r="B54">
        <f t="shared" si="8"/>
        <v>0.51020408163265307</v>
      </c>
      <c r="C54" s="313" t="s">
        <v>18</v>
      </c>
      <c r="D54" t="s">
        <v>2</v>
      </c>
      <c r="E54" t="s">
        <v>456</v>
      </c>
      <c r="F54" t="s">
        <v>59</v>
      </c>
      <c r="G54" t="s">
        <v>33</v>
      </c>
      <c r="H54">
        <v>1</v>
      </c>
      <c r="I54">
        <f t="shared" si="9"/>
        <v>0.51020408163265307</v>
      </c>
      <c r="J54" t="s">
        <v>31</v>
      </c>
      <c r="K54" t="s">
        <v>31</v>
      </c>
      <c r="L54" s="313" t="s">
        <v>31</v>
      </c>
      <c r="M54" s="313" t="s">
        <v>31</v>
      </c>
      <c r="O54" s="317">
        <v>0.5</v>
      </c>
      <c r="P54">
        <v>0.98</v>
      </c>
      <c r="Q54">
        <v>1</v>
      </c>
      <c r="R54" s="318">
        <f t="shared" si="11"/>
        <v>0.51020408163265307</v>
      </c>
      <c r="T54" s="321">
        <v>0</v>
      </c>
      <c r="U54" t="s">
        <v>509</v>
      </c>
      <c r="AB54" s="313" t="e">
        <f t="shared" si="0"/>
        <v>#VALUE!</v>
      </c>
    </row>
    <row r="55" spans="1:28">
      <c r="A55" s="205" t="s">
        <v>510</v>
      </c>
      <c r="B55">
        <f t="shared" si="8"/>
        <v>2.0408163265306123</v>
      </c>
      <c r="C55" s="313" t="s">
        <v>18</v>
      </c>
      <c r="D55" t="s">
        <v>2</v>
      </c>
      <c r="E55" t="s">
        <v>456</v>
      </c>
      <c r="F55" t="s">
        <v>59</v>
      </c>
      <c r="G55" t="s">
        <v>33</v>
      </c>
      <c r="H55">
        <v>5</v>
      </c>
      <c r="I55">
        <f t="shared" si="9"/>
        <v>2.0408163265306123</v>
      </c>
      <c r="J55" t="s">
        <v>31</v>
      </c>
      <c r="K55" t="s">
        <v>31</v>
      </c>
      <c r="L55">
        <f>B55-B55</f>
        <v>0</v>
      </c>
      <c r="M55">
        <f>B55+B55</f>
        <v>4.0816326530612246</v>
      </c>
      <c r="O55" s="317">
        <v>1</v>
      </c>
      <c r="P55">
        <v>0.98</v>
      </c>
      <c r="Q55">
        <v>2</v>
      </c>
      <c r="R55" s="318">
        <f t="shared" si="11"/>
        <v>2.0408163265306123</v>
      </c>
      <c r="T55" s="322" t="s">
        <v>511</v>
      </c>
      <c r="U55" t="s">
        <v>512</v>
      </c>
      <c r="AB55" s="313">
        <f t="shared" si="0"/>
        <v>4.0816326530612246</v>
      </c>
    </row>
    <row r="56" spans="1:28">
      <c r="A56" s="205" t="s">
        <v>513</v>
      </c>
      <c r="B56">
        <f t="shared" si="8"/>
        <v>1.0204081632653061</v>
      </c>
      <c r="C56" s="313" t="s">
        <v>18</v>
      </c>
      <c r="D56" t="s">
        <v>2</v>
      </c>
      <c r="E56" t="s">
        <v>456</v>
      </c>
      <c r="F56" t="s">
        <v>59</v>
      </c>
      <c r="G56" t="s">
        <v>33</v>
      </c>
      <c r="H56">
        <v>5</v>
      </c>
      <c r="I56">
        <f t="shared" si="9"/>
        <v>1.0204081632653061</v>
      </c>
      <c r="J56" t="s">
        <v>31</v>
      </c>
      <c r="K56" t="s">
        <v>31</v>
      </c>
      <c r="L56">
        <f t="shared" ref="L56:L57" si="12">B56-B56</f>
        <v>0</v>
      </c>
      <c r="M56">
        <f t="shared" ref="M56" si="13">B56+B56</f>
        <v>2.0408163265306123</v>
      </c>
      <c r="O56" s="317">
        <v>1</v>
      </c>
      <c r="P56">
        <v>0.98</v>
      </c>
      <c r="Q56">
        <v>1</v>
      </c>
      <c r="R56" s="318">
        <f t="shared" si="11"/>
        <v>1.0204081632653061</v>
      </c>
      <c r="T56" s="322" t="s">
        <v>511</v>
      </c>
      <c r="U56" t="s">
        <v>514</v>
      </c>
      <c r="AB56" s="313">
        <f t="shared" si="0"/>
        <v>2.0408163265306123</v>
      </c>
    </row>
    <row r="57" spans="1:28">
      <c r="A57" s="204" t="s">
        <v>515</v>
      </c>
      <c r="B57">
        <f t="shared" si="8"/>
        <v>0.51020408163265307</v>
      </c>
      <c r="C57" s="313" t="s">
        <v>18</v>
      </c>
      <c r="D57" t="s">
        <v>2</v>
      </c>
      <c r="E57" t="s">
        <v>456</v>
      </c>
      <c r="F57" t="s">
        <v>59</v>
      </c>
      <c r="G57" t="s">
        <v>33</v>
      </c>
      <c r="H57">
        <v>5</v>
      </c>
      <c r="I57">
        <f t="shared" si="9"/>
        <v>0.51020408163265307</v>
      </c>
      <c r="J57" t="s">
        <v>31</v>
      </c>
      <c r="K57" t="s">
        <v>31</v>
      </c>
      <c r="L57">
        <f t="shared" si="12"/>
        <v>0</v>
      </c>
      <c r="M57">
        <f>B57+B57</f>
        <v>1.0204081632653061</v>
      </c>
      <c r="O57" s="317">
        <v>0.5</v>
      </c>
      <c r="P57">
        <v>0.98</v>
      </c>
      <c r="Q57">
        <v>1</v>
      </c>
      <c r="R57" s="318">
        <f t="shared" si="11"/>
        <v>0.51020408163265307</v>
      </c>
      <c r="T57" s="322" t="s">
        <v>511</v>
      </c>
      <c r="U57" t="s">
        <v>516</v>
      </c>
      <c r="AB57" s="313">
        <f t="shared" si="0"/>
        <v>1.0204081632653061</v>
      </c>
    </row>
    <row r="58" spans="1:28">
      <c r="A58" t="s">
        <v>269</v>
      </c>
      <c r="B58">
        <f>Q58</f>
        <v>-420</v>
      </c>
      <c r="C58" t="s">
        <v>39</v>
      </c>
      <c r="D58" t="s">
        <v>40</v>
      </c>
      <c r="E58" t="s">
        <v>456</v>
      </c>
      <c r="F58" t="s">
        <v>59</v>
      </c>
      <c r="G58" t="s">
        <v>33</v>
      </c>
      <c r="H58">
        <v>5</v>
      </c>
      <c r="I58">
        <f t="shared" si="9"/>
        <v>-420</v>
      </c>
      <c r="J58" t="s">
        <v>31</v>
      </c>
      <c r="K58" t="s">
        <v>31</v>
      </c>
      <c r="L58">
        <f>B58+0.5*B58</f>
        <v>-630</v>
      </c>
      <c r="M58">
        <f>B58-0.5*B58</f>
        <v>-210</v>
      </c>
      <c r="O58" s="319">
        <v>1</v>
      </c>
      <c r="P58">
        <v>1</v>
      </c>
      <c r="Q58">
        <v>-420</v>
      </c>
      <c r="R58" s="318">
        <f t="shared" si="11"/>
        <v>-420</v>
      </c>
      <c r="T58" t="s">
        <v>487</v>
      </c>
      <c r="AB58" s="313">
        <f>L58-M58</f>
        <v>-420</v>
      </c>
    </row>
    <row r="59" spans="1:28">
      <c r="A59" t="s">
        <v>269</v>
      </c>
      <c r="B59">
        <f>Q59</f>
        <v>8</v>
      </c>
      <c r="C59" t="s">
        <v>39</v>
      </c>
      <c r="D59" t="s">
        <v>40</v>
      </c>
      <c r="E59" t="s">
        <v>456</v>
      </c>
      <c r="F59" t="s">
        <v>59</v>
      </c>
      <c r="G59" t="s">
        <v>33</v>
      </c>
      <c r="H59">
        <v>5</v>
      </c>
      <c r="I59">
        <f t="shared" si="9"/>
        <v>8</v>
      </c>
      <c r="J59" t="s">
        <v>31</v>
      </c>
      <c r="K59" t="s">
        <v>31</v>
      </c>
      <c r="L59">
        <f>B59-B59</f>
        <v>0</v>
      </c>
      <c r="M59">
        <f>B59+B59</f>
        <v>16</v>
      </c>
      <c r="O59" s="319">
        <v>1</v>
      </c>
      <c r="P59">
        <v>1</v>
      </c>
      <c r="Q59">
        <v>8</v>
      </c>
      <c r="R59" s="318">
        <f t="shared" si="11"/>
        <v>8</v>
      </c>
      <c r="T59" s="268" t="s">
        <v>517</v>
      </c>
      <c r="AB59" s="313">
        <f t="shared" si="0"/>
        <v>16</v>
      </c>
    </row>
    <row r="60" spans="1:28">
      <c r="A60" s="22" t="s">
        <v>70</v>
      </c>
      <c r="B60">
        <f>Q60</f>
        <v>-1008</v>
      </c>
      <c r="C60" t="s">
        <v>71</v>
      </c>
      <c r="D60" t="s">
        <v>40</v>
      </c>
      <c r="E60" t="s">
        <v>456</v>
      </c>
      <c r="F60" t="s">
        <v>59</v>
      </c>
      <c r="G60" t="s">
        <v>33</v>
      </c>
      <c r="H60">
        <v>5</v>
      </c>
      <c r="I60">
        <f t="shared" si="9"/>
        <v>-1008</v>
      </c>
      <c r="J60" t="s">
        <v>31</v>
      </c>
      <c r="K60" t="s">
        <v>31</v>
      </c>
      <c r="L60">
        <f>B60+B60</f>
        <v>-2016</v>
      </c>
      <c r="M60">
        <f>B60-B60</f>
        <v>0</v>
      </c>
      <c r="O60" s="319">
        <v>1</v>
      </c>
      <c r="P60">
        <v>1</v>
      </c>
      <c r="Q60">
        <v>-1008</v>
      </c>
      <c r="R60" s="318">
        <f t="shared" si="11"/>
        <v>-1008</v>
      </c>
      <c r="T60" t="s">
        <v>518</v>
      </c>
      <c r="AB60" s="313">
        <f>L60-M60</f>
        <v>-2016</v>
      </c>
    </row>
    <row r="61" spans="1:28">
      <c r="A61" s="88" t="s">
        <v>494</v>
      </c>
      <c r="B61">
        <f>Q61</f>
        <v>5</v>
      </c>
      <c r="C61" t="s">
        <v>37</v>
      </c>
      <c r="D61" t="s">
        <v>40</v>
      </c>
      <c r="E61" t="s">
        <v>456</v>
      </c>
      <c r="F61" t="s">
        <v>59</v>
      </c>
      <c r="G61" t="s">
        <v>33</v>
      </c>
      <c r="H61">
        <v>1</v>
      </c>
      <c r="I61">
        <f t="shared" si="9"/>
        <v>5</v>
      </c>
      <c r="J61" t="s">
        <v>31</v>
      </c>
      <c r="K61" t="s">
        <v>31</v>
      </c>
      <c r="L61" s="313" t="s">
        <v>31</v>
      </c>
      <c r="M61" s="313" t="s">
        <v>31</v>
      </c>
      <c r="N61" t="s">
        <v>495</v>
      </c>
      <c r="O61" s="319">
        <v>1</v>
      </c>
      <c r="P61">
        <v>1</v>
      </c>
      <c r="Q61">
        <v>5</v>
      </c>
      <c r="R61" s="318">
        <f t="shared" si="11"/>
        <v>5</v>
      </c>
      <c r="T61" t="s">
        <v>519</v>
      </c>
      <c r="AB61" s="313" t="e">
        <f t="shared" si="0"/>
        <v>#VALUE!</v>
      </c>
    </row>
    <row r="62" spans="1:28">
      <c r="A62" s="88" t="s">
        <v>496</v>
      </c>
      <c r="B62">
        <f>R62</f>
        <v>21</v>
      </c>
      <c r="C62" t="s">
        <v>37</v>
      </c>
      <c r="D62" t="s">
        <v>40</v>
      </c>
      <c r="E62" t="s">
        <v>456</v>
      </c>
      <c r="F62" t="s">
        <v>59</v>
      </c>
      <c r="G62" t="s">
        <v>33</v>
      </c>
      <c r="H62">
        <v>1</v>
      </c>
      <c r="I62">
        <f>B62</f>
        <v>21</v>
      </c>
      <c r="J62" t="s">
        <v>31</v>
      </c>
      <c r="K62" t="s">
        <v>31</v>
      </c>
      <c r="L62" s="313" t="s">
        <v>31</v>
      </c>
      <c r="M62" s="313" t="s">
        <v>31</v>
      </c>
      <c r="N62" t="s">
        <v>497</v>
      </c>
      <c r="O62" s="319">
        <v>1</v>
      </c>
      <c r="P62">
        <v>1</v>
      </c>
      <c r="Q62">
        <v>21</v>
      </c>
      <c r="R62" s="318">
        <f t="shared" si="11"/>
        <v>21</v>
      </c>
      <c r="T62" t="s">
        <v>519</v>
      </c>
      <c r="AB62" s="313" t="e">
        <f t="shared" si="0"/>
        <v>#VALUE!</v>
      </c>
    </row>
    <row r="63" spans="1:28">
      <c r="A63" s="88" t="s">
        <v>202</v>
      </c>
      <c r="B63">
        <f>R63</f>
        <v>8.0000000000000002E-3</v>
      </c>
      <c r="C63" t="s">
        <v>37</v>
      </c>
      <c r="D63" t="s">
        <v>40</v>
      </c>
      <c r="E63" t="s">
        <v>456</v>
      </c>
      <c r="F63" t="s">
        <v>82</v>
      </c>
      <c r="G63" t="s">
        <v>33</v>
      </c>
      <c r="H63">
        <v>1</v>
      </c>
      <c r="I63">
        <f>B63</f>
        <v>8.0000000000000002E-3</v>
      </c>
      <c r="J63" t="s">
        <v>31</v>
      </c>
      <c r="K63" t="s">
        <v>31</v>
      </c>
      <c r="L63" s="313" t="s">
        <v>31</v>
      </c>
      <c r="M63" s="313" t="s">
        <v>31</v>
      </c>
      <c r="N63" t="s">
        <v>520</v>
      </c>
      <c r="O63" s="319">
        <v>1</v>
      </c>
      <c r="P63">
        <v>1</v>
      </c>
      <c r="Q63">
        <v>8.0000000000000002E-3</v>
      </c>
      <c r="R63" s="323">
        <f t="shared" si="11"/>
        <v>8.0000000000000002E-3</v>
      </c>
      <c r="T63" t="s">
        <v>519</v>
      </c>
      <c r="AB63" s="313" t="e">
        <f t="shared" si="0"/>
        <v>#VALUE!</v>
      </c>
    </row>
    <row r="64" spans="1:28" s="70" customFormat="1">
      <c r="A64" s="309" t="s">
        <v>5</v>
      </c>
      <c r="B64" s="123" t="str">
        <f>A74</f>
        <v>Production of single fuel cell / Membrane Electrode Assemblies (MEA)</v>
      </c>
      <c r="C64" s="69"/>
      <c r="AB64" s="313">
        <f t="shared" si="0"/>
        <v>0</v>
      </c>
    </row>
    <row r="65" spans="1:28">
      <c r="A65" s="71" t="s">
        <v>7</v>
      </c>
      <c r="B65" t="s">
        <v>456</v>
      </c>
      <c r="C65" s="72"/>
      <c r="AB65" s="313">
        <f t="shared" si="0"/>
        <v>0</v>
      </c>
    </row>
    <row r="66" spans="1:28">
      <c r="A66" s="71" t="s">
        <v>9</v>
      </c>
      <c r="B66" s="310" t="s">
        <v>521</v>
      </c>
      <c r="C66" s="72"/>
      <c r="AB66" s="313">
        <f t="shared" si="0"/>
        <v>0</v>
      </c>
    </row>
    <row r="67" spans="1:28" ht="50.25" customHeight="1">
      <c r="A67" s="71" t="s">
        <v>11</v>
      </c>
      <c r="B67" s="320" t="s">
        <v>522</v>
      </c>
      <c r="AB67" s="313">
        <f t="shared" si="0"/>
        <v>0</v>
      </c>
    </row>
    <row r="68" spans="1:28">
      <c r="A68" s="71" t="s">
        <v>13</v>
      </c>
      <c r="B68" t="s">
        <v>14</v>
      </c>
      <c r="AB68" s="313">
        <f t="shared" si="0"/>
        <v>0</v>
      </c>
    </row>
    <row r="69" spans="1:28">
      <c r="A69" s="71" t="s">
        <v>15</v>
      </c>
      <c r="B69">
        <v>1.07589E-2</v>
      </c>
      <c r="AB69" s="313">
        <f t="shared" si="0"/>
        <v>0</v>
      </c>
    </row>
    <row r="70" spans="1:28">
      <c r="A70" s="71" t="s">
        <v>16</v>
      </c>
      <c r="B70" t="s">
        <v>17</v>
      </c>
      <c r="AB70" s="313">
        <f t="shared" si="0"/>
        <v>0</v>
      </c>
    </row>
    <row r="71" spans="1:28">
      <c r="A71" s="71" t="s">
        <v>18</v>
      </c>
      <c r="B71" t="s">
        <v>18</v>
      </c>
      <c r="AB71" s="313">
        <f t="shared" si="0"/>
        <v>0</v>
      </c>
    </row>
    <row r="72" spans="1:28">
      <c r="A72" s="311" t="s">
        <v>19</v>
      </c>
      <c r="AB72" s="313">
        <f t="shared" si="0"/>
        <v>0</v>
      </c>
    </row>
    <row r="73" spans="1:28">
      <c r="A73" s="311" t="s">
        <v>20</v>
      </c>
      <c r="B73" s="131" t="s">
        <v>21</v>
      </c>
      <c r="C73" s="131" t="s">
        <v>18</v>
      </c>
      <c r="D73" s="131" t="s">
        <v>22</v>
      </c>
      <c r="E73" s="131" t="s">
        <v>7</v>
      </c>
      <c r="F73" s="131" t="s">
        <v>13</v>
      </c>
      <c r="G73" s="131" t="s">
        <v>16</v>
      </c>
      <c r="H73" s="131" t="s">
        <v>23</v>
      </c>
      <c r="I73" s="131" t="s">
        <v>24</v>
      </c>
      <c r="J73" s="131" t="s">
        <v>25</v>
      </c>
      <c r="K73" s="131" t="s">
        <v>26</v>
      </c>
      <c r="L73" s="131" t="s">
        <v>27</v>
      </c>
      <c r="M73" s="131" t="s">
        <v>28</v>
      </c>
      <c r="AB73" s="313" t="e">
        <f t="shared" si="0"/>
        <v>#VALUE!</v>
      </c>
    </row>
    <row r="74" spans="1:28" s="313" customFormat="1">
      <c r="A74" s="312" t="str">
        <f>A51</f>
        <v>Production of single fuel cell / Membrane Electrode Assemblies (MEA)</v>
      </c>
      <c r="B74" s="313">
        <v>1</v>
      </c>
      <c r="C74" s="313" t="s">
        <v>18</v>
      </c>
      <c r="D74" s="313" t="s">
        <v>2</v>
      </c>
      <c r="E74" s="313" t="s">
        <v>456</v>
      </c>
      <c r="F74" s="313" t="s">
        <v>14</v>
      </c>
      <c r="G74" s="313" t="s">
        <v>30</v>
      </c>
      <c r="H74" s="313">
        <v>1</v>
      </c>
      <c r="I74" s="313">
        <v>1</v>
      </c>
      <c r="J74" s="313" t="s">
        <v>31</v>
      </c>
      <c r="K74" s="313" t="s">
        <v>31</v>
      </c>
      <c r="L74" s="313" t="s">
        <v>31</v>
      </c>
      <c r="M74" s="313" t="s">
        <v>31</v>
      </c>
      <c r="O74" s="314" t="s">
        <v>464</v>
      </c>
      <c r="P74" s="315" t="s">
        <v>465</v>
      </c>
      <c r="Q74" s="315" t="s">
        <v>21</v>
      </c>
      <c r="R74" s="316" t="s">
        <v>466</v>
      </c>
      <c r="T74" s="315" t="s">
        <v>467</v>
      </c>
      <c r="AB74" s="313" t="e">
        <f t="shared" si="0"/>
        <v>#VALUE!</v>
      </c>
    </row>
    <row r="75" spans="1:28">
      <c r="A75" s="205" t="s">
        <v>523</v>
      </c>
      <c r="B75">
        <f>R75</f>
        <v>1.0526315789473684</v>
      </c>
      <c r="C75" s="313" t="s">
        <v>18</v>
      </c>
      <c r="D75" t="s">
        <v>2</v>
      </c>
      <c r="E75" t="s">
        <v>456</v>
      </c>
      <c r="F75" t="s">
        <v>59</v>
      </c>
      <c r="G75" t="s">
        <v>33</v>
      </c>
      <c r="H75">
        <v>1</v>
      </c>
      <c r="I75">
        <f>B75</f>
        <v>1.0526315789473684</v>
      </c>
      <c r="J75" t="s">
        <v>31</v>
      </c>
      <c r="K75" t="s">
        <v>31</v>
      </c>
      <c r="L75" t="s">
        <v>31</v>
      </c>
      <c r="M75" t="s">
        <v>31</v>
      </c>
      <c r="O75" s="317">
        <v>1</v>
      </c>
      <c r="P75">
        <v>0.95</v>
      </c>
      <c r="Q75">
        <v>1</v>
      </c>
      <c r="R75" s="318">
        <f>(Q75/P75)*O75</f>
        <v>1.0526315789473684</v>
      </c>
      <c r="T75" s="321">
        <v>0</v>
      </c>
      <c r="U75" t="s">
        <v>524</v>
      </c>
      <c r="AB75" s="313" t="e">
        <f t="shared" si="0"/>
        <v>#VALUE!</v>
      </c>
    </row>
    <row r="76" spans="1:28">
      <c r="A76" s="205" t="s">
        <v>525</v>
      </c>
      <c r="B76">
        <f t="shared" ref="B76:B79" si="14">R76</f>
        <v>1.0526315789473684</v>
      </c>
      <c r="C76" s="313" t="s">
        <v>18</v>
      </c>
      <c r="D76" t="s">
        <v>2</v>
      </c>
      <c r="E76" t="s">
        <v>456</v>
      </c>
      <c r="F76" t="s">
        <v>59</v>
      </c>
      <c r="G76" t="s">
        <v>33</v>
      </c>
      <c r="H76">
        <v>1</v>
      </c>
      <c r="I76">
        <f t="shared" ref="I76:I79" si="15">B76</f>
        <v>1.0526315789473684</v>
      </c>
      <c r="J76" t="s">
        <v>31</v>
      </c>
      <c r="K76" t="s">
        <v>31</v>
      </c>
      <c r="L76" t="s">
        <v>31</v>
      </c>
      <c r="M76" t="s">
        <v>31</v>
      </c>
      <c r="O76">
        <v>1</v>
      </c>
      <c r="P76">
        <v>0.95</v>
      </c>
      <c r="Q76">
        <v>1</v>
      </c>
      <c r="R76" s="318">
        <f t="shared" ref="R76:R79" si="16">(Q76/P76)*O76</f>
        <v>1.0526315789473684</v>
      </c>
      <c r="T76" s="321">
        <v>0</v>
      </c>
      <c r="U76" t="s">
        <v>526</v>
      </c>
      <c r="AB76" s="313" t="e">
        <f t="shared" si="0"/>
        <v>#VALUE!</v>
      </c>
    </row>
    <row r="77" spans="1:28">
      <c r="A77" s="205" t="s">
        <v>527</v>
      </c>
      <c r="B77">
        <f t="shared" si="14"/>
        <v>1.1111111111111112</v>
      </c>
      <c r="C77" s="313" t="s">
        <v>18</v>
      </c>
      <c r="D77" t="s">
        <v>2</v>
      </c>
      <c r="E77" t="s">
        <v>456</v>
      </c>
      <c r="F77" t="s">
        <v>59</v>
      </c>
      <c r="G77" t="s">
        <v>33</v>
      </c>
      <c r="H77">
        <v>1</v>
      </c>
      <c r="I77">
        <f t="shared" si="15"/>
        <v>1.1111111111111112</v>
      </c>
      <c r="J77" t="s">
        <v>31</v>
      </c>
      <c r="K77" t="s">
        <v>31</v>
      </c>
      <c r="L77" t="s">
        <v>31</v>
      </c>
      <c r="M77" t="s">
        <v>31</v>
      </c>
      <c r="O77">
        <v>1</v>
      </c>
      <c r="P77">
        <v>0.9</v>
      </c>
      <c r="Q77">
        <v>1</v>
      </c>
      <c r="R77" s="318">
        <f t="shared" si="16"/>
        <v>1.1111111111111112</v>
      </c>
      <c r="T77" s="321">
        <v>0</v>
      </c>
      <c r="U77" t="s">
        <v>528</v>
      </c>
      <c r="AB77" s="313" t="e">
        <f t="shared" ref="AB77:AB140" si="17">M77-L77</f>
        <v>#VALUE!</v>
      </c>
    </row>
    <row r="78" spans="1:28">
      <c r="A78" s="205" t="s">
        <v>529</v>
      </c>
      <c r="B78">
        <f t="shared" si="14"/>
        <v>2.1052631578947367</v>
      </c>
      <c r="C78" s="313" t="s">
        <v>18</v>
      </c>
      <c r="D78" t="s">
        <v>2</v>
      </c>
      <c r="E78" t="s">
        <v>456</v>
      </c>
      <c r="F78" t="s">
        <v>59</v>
      </c>
      <c r="G78" t="s">
        <v>33</v>
      </c>
      <c r="H78">
        <v>1</v>
      </c>
      <c r="I78">
        <f t="shared" si="15"/>
        <v>2.1052631578947367</v>
      </c>
      <c r="J78" t="s">
        <v>31</v>
      </c>
      <c r="K78" t="s">
        <v>31</v>
      </c>
      <c r="L78" t="s">
        <v>31</v>
      </c>
      <c r="M78" t="s">
        <v>31</v>
      </c>
      <c r="O78">
        <v>1</v>
      </c>
      <c r="P78">
        <v>0.95</v>
      </c>
      <c r="Q78">
        <v>2</v>
      </c>
      <c r="R78" s="318">
        <f t="shared" si="16"/>
        <v>2.1052631578947367</v>
      </c>
      <c r="T78" s="321">
        <v>0</v>
      </c>
      <c r="U78" t="s">
        <v>530</v>
      </c>
      <c r="AB78" s="313" t="e">
        <f t="shared" si="17"/>
        <v>#VALUE!</v>
      </c>
    </row>
    <row r="79" spans="1:28">
      <c r="A79" s="205" t="s">
        <v>531</v>
      </c>
      <c r="B79">
        <f t="shared" si="14"/>
        <v>1.0526315789473684</v>
      </c>
      <c r="C79" s="313" t="s">
        <v>18</v>
      </c>
      <c r="D79" t="s">
        <v>2</v>
      </c>
      <c r="E79" t="s">
        <v>456</v>
      </c>
      <c r="F79" t="s">
        <v>59</v>
      </c>
      <c r="G79" t="s">
        <v>33</v>
      </c>
      <c r="H79">
        <v>5</v>
      </c>
      <c r="I79">
        <f t="shared" si="15"/>
        <v>1.0526315789473684</v>
      </c>
      <c r="J79" t="s">
        <v>31</v>
      </c>
      <c r="K79" t="s">
        <v>31</v>
      </c>
      <c r="L79">
        <f>0</f>
        <v>0</v>
      </c>
      <c r="M79">
        <f>2*B79</f>
        <v>2.1052631578947367</v>
      </c>
      <c r="O79">
        <v>1</v>
      </c>
      <c r="P79">
        <v>0.95</v>
      </c>
      <c r="Q79">
        <v>1</v>
      </c>
      <c r="R79" s="318">
        <f t="shared" si="16"/>
        <v>1.0526315789473684</v>
      </c>
      <c r="T79" s="322" t="s">
        <v>469</v>
      </c>
      <c r="U79" t="s">
        <v>532</v>
      </c>
      <c r="AB79" s="313">
        <f t="shared" si="17"/>
        <v>2.1052631578947367</v>
      </c>
    </row>
    <row r="80" spans="1:28" s="70" customFormat="1">
      <c r="A80" s="309" t="s">
        <v>5</v>
      </c>
      <c r="B80" s="123" t="str">
        <f>A90</f>
        <v>Production of PEMFC_anode catalyst layer</v>
      </c>
      <c r="C80" s="69"/>
      <c r="AB80" s="313">
        <f t="shared" si="17"/>
        <v>0</v>
      </c>
    </row>
    <row r="81" spans="1:28">
      <c r="A81" s="71" t="s">
        <v>7</v>
      </c>
      <c r="B81" t="s">
        <v>456</v>
      </c>
      <c r="C81" s="72"/>
      <c r="AB81" s="313">
        <f t="shared" si="17"/>
        <v>0</v>
      </c>
    </row>
    <row r="82" spans="1:28">
      <c r="A82" s="71" t="s">
        <v>9</v>
      </c>
      <c r="B82" s="310" t="s">
        <v>533</v>
      </c>
      <c r="C82" s="72"/>
      <c r="AB82" s="313">
        <f t="shared" si="17"/>
        <v>0</v>
      </c>
    </row>
    <row r="83" spans="1:28" ht="50.25" customHeight="1">
      <c r="A83" s="71" t="s">
        <v>11</v>
      </c>
      <c r="B83" s="320" t="s">
        <v>534</v>
      </c>
      <c r="AB83" s="313">
        <f t="shared" si="17"/>
        <v>0</v>
      </c>
    </row>
    <row r="84" spans="1:28">
      <c r="A84" s="71" t="s">
        <v>13</v>
      </c>
      <c r="B84" t="s">
        <v>59</v>
      </c>
      <c r="AB84" s="313">
        <f t="shared" si="17"/>
        <v>0</v>
      </c>
    </row>
    <row r="85" spans="1:28">
      <c r="A85" s="71" t="s">
        <v>15</v>
      </c>
      <c r="B85">
        <f>B90</f>
        <v>1</v>
      </c>
      <c r="AB85" s="313">
        <f t="shared" si="17"/>
        <v>0</v>
      </c>
    </row>
    <row r="86" spans="1:28">
      <c r="A86" s="71" t="s">
        <v>16</v>
      </c>
      <c r="B86" t="s">
        <v>17</v>
      </c>
      <c r="AB86" s="313">
        <f t="shared" si="17"/>
        <v>0</v>
      </c>
    </row>
    <row r="87" spans="1:28">
      <c r="A87" s="71" t="s">
        <v>18</v>
      </c>
      <c r="B87" t="str">
        <f>C90</f>
        <v>unit</v>
      </c>
      <c r="AB87" s="313">
        <f t="shared" si="17"/>
        <v>0</v>
      </c>
    </row>
    <row r="88" spans="1:28">
      <c r="A88" s="311" t="s">
        <v>19</v>
      </c>
      <c r="AB88" s="313">
        <f t="shared" si="17"/>
        <v>0</v>
      </c>
    </row>
    <row r="89" spans="1:28">
      <c r="A89" s="311" t="s">
        <v>20</v>
      </c>
      <c r="B89" s="131" t="s">
        <v>21</v>
      </c>
      <c r="C89" s="131" t="s">
        <v>18</v>
      </c>
      <c r="D89" s="131" t="s">
        <v>22</v>
      </c>
      <c r="E89" s="131" t="s">
        <v>7</v>
      </c>
      <c r="F89" s="131" t="s">
        <v>13</v>
      </c>
      <c r="G89" s="131" t="s">
        <v>16</v>
      </c>
      <c r="H89" s="131" t="s">
        <v>23</v>
      </c>
      <c r="I89" s="131" t="s">
        <v>24</v>
      </c>
      <c r="J89" s="131" t="s">
        <v>25</v>
      </c>
      <c r="K89" s="131" t="s">
        <v>26</v>
      </c>
      <c r="L89" s="131" t="s">
        <v>27</v>
      </c>
      <c r="M89" s="131" t="s">
        <v>28</v>
      </c>
      <c r="AB89" s="313" t="e">
        <f t="shared" si="17"/>
        <v>#VALUE!</v>
      </c>
    </row>
    <row r="90" spans="1:28" s="313" customFormat="1">
      <c r="A90" s="312" t="str">
        <f>A75</f>
        <v>Production of PEMFC_anode catalyst layer</v>
      </c>
      <c r="B90" s="313">
        <v>1</v>
      </c>
      <c r="C90" s="313" t="s">
        <v>18</v>
      </c>
      <c r="D90" s="313" t="s">
        <v>2</v>
      </c>
      <c r="E90" s="313" t="s">
        <v>456</v>
      </c>
      <c r="F90" s="313" t="s">
        <v>59</v>
      </c>
      <c r="G90" s="313" t="s">
        <v>30</v>
      </c>
      <c r="H90" s="313">
        <v>1</v>
      </c>
      <c r="I90" s="313">
        <v>1</v>
      </c>
      <c r="J90" s="313" t="s">
        <v>31</v>
      </c>
      <c r="K90" s="313" t="s">
        <v>31</v>
      </c>
      <c r="L90" s="313" t="s">
        <v>31</v>
      </c>
      <c r="M90" s="313" t="s">
        <v>31</v>
      </c>
      <c r="O90" s="314" t="s">
        <v>464</v>
      </c>
      <c r="P90" s="315" t="s">
        <v>465</v>
      </c>
      <c r="Q90" s="315" t="s">
        <v>21</v>
      </c>
      <c r="R90" s="316" t="s">
        <v>466</v>
      </c>
      <c r="T90" s="315" t="s">
        <v>467</v>
      </c>
      <c r="W90" s="313" t="s">
        <v>535</v>
      </c>
      <c r="AB90" s="313" t="e">
        <f t="shared" si="17"/>
        <v>#VALUE!</v>
      </c>
    </row>
    <row r="91" spans="1:28">
      <c r="A91" s="88" t="s">
        <v>536</v>
      </c>
      <c r="B91">
        <f>R91</f>
        <v>8.7719298245614029E-6</v>
      </c>
      <c r="C91" t="s">
        <v>37</v>
      </c>
      <c r="D91" t="s">
        <v>40</v>
      </c>
      <c r="E91" s="313" t="s">
        <v>456</v>
      </c>
      <c r="F91" t="s">
        <v>59</v>
      </c>
      <c r="G91" t="s">
        <v>33</v>
      </c>
      <c r="H91">
        <v>5</v>
      </c>
      <c r="I91">
        <f>B91</f>
        <v>8.7719298245614029E-6</v>
      </c>
      <c r="J91" s="313" t="s">
        <v>31</v>
      </c>
      <c r="K91" s="313" t="s">
        <v>31</v>
      </c>
      <c r="L91">
        <f>0</f>
        <v>0</v>
      </c>
      <c r="M91">
        <f>2*B91</f>
        <v>1.7543859649122806E-5</v>
      </c>
      <c r="O91">
        <f>2/3</f>
        <v>0.66666666666666663</v>
      </c>
      <c r="P91">
        <v>0.95</v>
      </c>
      <c r="Q91">
        <f>Y91</f>
        <v>1.2499999999999999E-5</v>
      </c>
      <c r="R91" s="318">
        <f>(Q91/P91)*O91</f>
        <v>8.7719298245614029E-6</v>
      </c>
      <c r="S91" s="313"/>
      <c r="T91" t="s">
        <v>537</v>
      </c>
      <c r="W91">
        <v>12.5</v>
      </c>
      <c r="X91" t="s">
        <v>538</v>
      </c>
      <c r="Y91">
        <f>10^(-6)*W91</f>
        <v>1.2499999999999999E-5</v>
      </c>
      <c r="Z91" t="s">
        <v>241</v>
      </c>
      <c r="AB91" s="313">
        <f t="shared" si="17"/>
        <v>1.7543859649122806E-5</v>
      </c>
    </row>
    <row r="92" spans="1:28">
      <c r="A92" s="24" t="s">
        <v>539</v>
      </c>
      <c r="B92">
        <f t="shared" ref="B92:B95" si="18">R92</f>
        <v>8.7719298245614029E-6</v>
      </c>
      <c r="C92" s="313" t="s">
        <v>18</v>
      </c>
      <c r="D92" t="s">
        <v>2</v>
      </c>
      <c r="E92" s="313" t="s">
        <v>456</v>
      </c>
      <c r="F92" t="s">
        <v>59</v>
      </c>
      <c r="G92" t="s">
        <v>33</v>
      </c>
      <c r="H92">
        <v>5</v>
      </c>
      <c r="I92">
        <f t="shared" ref="I92:I97" si="19">B92</f>
        <v>8.7719298245614029E-6</v>
      </c>
      <c r="J92" s="313" t="s">
        <v>31</v>
      </c>
      <c r="K92" s="313" t="s">
        <v>31</v>
      </c>
      <c r="L92">
        <f>0</f>
        <v>0</v>
      </c>
      <c r="M92">
        <f t="shared" ref="M92:M94" si="20">2*B92</f>
        <v>1.7543859649122806E-5</v>
      </c>
      <c r="O92">
        <f>2/3</f>
        <v>0.66666666666666663</v>
      </c>
      <c r="P92">
        <v>0.95</v>
      </c>
      <c r="Q92">
        <f t="shared" ref="Q92:Q96" si="21">Y92</f>
        <v>1.2499999999999999E-5</v>
      </c>
      <c r="R92" s="318">
        <f t="shared" ref="R92:R96" si="22">(Q92/P92)*O92</f>
        <v>8.7719298245614029E-6</v>
      </c>
      <c r="T92" t="s">
        <v>537</v>
      </c>
      <c r="U92" t="s">
        <v>540</v>
      </c>
      <c r="W92">
        <v>12.5</v>
      </c>
      <c r="X92" t="s">
        <v>538</v>
      </c>
      <c r="Y92">
        <f t="shared" ref="Y92:Y94" si="23">10^(-6)*W92</f>
        <v>1.2499999999999999E-5</v>
      </c>
      <c r="Z92" t="s">
        <v>241</v>
      </c>
      <c r="AB92" s="313">
        <f t="shared" si="17"/>
        <v>1.7543859649122806E-5</v>
      </c>
    </row>
    <row r="93" spans="1:28">
      <c r="A93" s="88" t="s">
        <v>541</v>
      </c>
      <c r="B93">
        <f t="shared" si="18"/>
        <v>8.7719298245614037E-7</v>
      </c>
      <c r="C93" t="s">
        <v>37</v>
      </c>
      <c r="D93" t="s">
        <v>40</v>
      </c>
      <c r="E93" s="313" t="s">
        <v>456</v>
      </c>
      <c r="F93" t="s">
        <v>59</v>
      </c>
      <c r="G93" t="s">
        <v>33</v>
      </c>
      <c r="H93">
        <v>5</v>
      </c>
      <c r="I93">
        <f t="shared" si="19"/>
        <v>8.7719298245614037E-7</v>
      </c>
      <c r="J93" s="313" t="s">
        <v>31</v>
      </c>
      <c r="K93" s="313" t="s">
        <v>31</v>
      </c>
      <c r="L93">
        <f>0</f>
        <v>0</v>
      </c>
      <c r="M93">
        <f t="shared" si="20"/>
        <v>1.7543859649122807E-6</v>
      </c>
      <c r="N93" t="s">
        <v>542</v>
      </c>
      <c r="O93">
        <f>2/3</f>
        <v>0.66666666666666663</v>
      </c>
      <c r="P93">
        <v>0.95</v>
      </c>
      <c r="Q93">
        <f t="shared" si="21"/>
        <v>1.2499999999999999E-6</v>
      </c>
      <c r="R93" s="318">
        <f t="shared" si="22"/>
        <v>8.7719298245614037E-7</v>
      </c>
      <c r="T93" t="s">
        <v>537</v>
      </c>
      <c r="W93">
        <v>1.25</v>
      </c>
      <c r="X93" t="s">
        <v>538</v>
      </c>
      <c r="Y93">
        <f t="shared" si="23"/>
        <v>1.2499999999999999E-6</v>
      </c>
      <c r="Z93" t="s">
        <v>241</v>
      </c>
      <c r="AB93" s="313">
        <f t="shared" si="17"/>
        <v>1.7543859649122807E-6</v>
      </c>
    </row>
    <row r="94" spans="1:28">
      <c r="A94" s="205" t="s">
        <v>543</v>
      </c>
      <c r="B94">
        <f t="shared" si="18"/>
        <v>5.2631578947368422E-6</v>
      </c>
      <c r="C94" s="313" t="s">
        <v>18</v>
      </c>
      <c r="D94" t="s">
        <v>2</v>
      </c>
      <c r="E94" s="313" t="s">
        <v>456</v>
      </c>
      <c r="F94" t="s">
        <v>59</v>
      </c>
      <c r="G94" t="s">
        <v>33</v>
      </c>
      <c r="H94">
        <v>5</v>
      </c>
      <c r="I94">
        <f t="shared" si="19"/>
        <v>5.2631578947368422E-6</v>
      </c>
      <c r="J94" s="313" t="s">
        <v>31</v>
      </c>
      <c r="K94" s="313" t="s">
        <v>31</v>
      </c>
      <c r="L94">
        <f>0</f>
        <v>0</v>
      </c>
      <c r="M94">
        <f t="shared" si="20"/>
        <v>1.0526315789473684E-5</v>
      </c>
      <c r="O94">
        <v>1</v>
      </c>
      <c r="P94">
        <v>0.95</v>
      </c>
      <c r="Q94">
        <f t="shared" si="21"/>
        <v>4.9999999999999996E-6</v>
      </c>
      <c r="R94" s="318">
        <f t="shared" si="22"/>
        <v>5.2631578947368422E-6</v>
      </c>
      <c r="T94" t="s">
        <v>537</v>
      </c>
      <c r="U94" t="s">
        <v>544</v>
      </c>
      <c r="W94">
        <v>5</v>
      </c>
      <c r="X94" t="s">
        <v>538</v>
      </c>
      <c r="Y94">
        <f t="shared" si="23"/>
        <v>4.9999999999999996E-6</v>
      </c>
      <c r="Z94" t="s">
        <v>241</v>
      </c>
      <c r="AB94" s="313">
        <f t="shared" si="17"/>
        <v>1.0526315789473684E-5</v>
      </c>
    </row>
    <row r="95" spans="1:28">
      <c r="A95" s="205" t="s">
        <v>545</v>
      </c>
      <c r="B95">
        <f t="shared" si="18"/>
        <v>1.7263157894736847E-5</v>
      </c>
      <c r="C95" t="s">
        <v>37</v>
      </c>
      <c r="D95" t="s">
        <v>40</v>
      </c>
      <c r="E95" s="313" t="s">
        <v>456</v>
      </c>
      <c r="F95" t="s">
        <v>82</v>
      </c>
      <c r="G95" t="s">
        <v>33</v>
      </c>
      <c r="H95">
        <v>5</v>
      </c>
      <c r="I95">
        <f t="shared" si="19"/>
        <v>1.7263157894736847E-5</v>
      </c>
      <c r="J95" s="313" t="s">
        <v>31</v>
      </c>
      <c r="K95" s="313" t="s">
        <v>31</v>
      </c>
      <c r="L95">
        <f>0.5*B95</f>
        <v>8.6315789473684234E-6</v>
      </c>
      <c r="M95">
        <f>1.5*B95</f>
        <v>2.5894736842105268E-5</v>
      </c>
      <c r="N95" t="s">
        <v>546</v>
      </c>
      <c r="O95">
        <v>1</v>
      </c>
      <c r="P95">
        <v>0.95</v>
      </c>
      <c r="Q95">
        <f t="shared" si="21"/>
        <v>1.6400000000000002E-5</v>
      </c>
      <c r="R95" s="318">
        <f t="shared" si="22"/>
        <v>1.7263157894736847E-5</v>
      </c>
      <c r="T95" t="s">
        <v>547</v>
      </c>
      <c r="W95">
        <v>0.16400000000000001</v>
      </c>
      <c r="X95" t="s">
        <v>548</v>
      </c>
      <c r="Y95">
        <f>W95*100*10^(-6)</f>
        <v>1.6400000000000002E-5</v>
      </c>
      <c r="Z95" t="s">
        <v>241</v>
      </c>
      <c r="AB95" s="313">
        <f t="shared" si="17"/>
        <v>1.7263157894736843E-5</v>
      </c>
    </row>
    <row r="96" spans="1:28" ht="15">
      <c r="A96" t="s">
        <v>75</v>
      </c>
      <c r="B96">
        <f>R96</f>
        <v>3.2926409999999998E-5</v>
      </c>
      <c r="C96" t="s">
        <v>37</v>
      </c>
      <c r="D96" t="s">
        <v>40</v>
      </c>
      <c r="E96" s="313" t="s">
        <v>456</v>
      </c>
      <c r="F96" t="s">
        <v>59</v>
      </c>
      <c r="G96" s="324" t="s">
        <v>136</v>
      </c>
      <c r="H96">
        <v>5</v>
      </c>
      <c r="I96">
        <f t="shared" si="19"/>
        <v>3.2926409999999998E-5</v>
      </c>
      <c r="J96" s="313" t="s">
        <v>31</v>
      </c>
      <c r="K96" s="313" t="s">
        <v>31</v>
      </c>
      <c r="L96">
        <f>0.5*B96</f>
        <v>1.6463204999999999E-5</v>
      </c>
      <c r="M96">
        <f>1.5*B96</f>
        <v>4.9389614999999993E-5</v>
      </c>
      <c r="O96">
        <v>1</v>
      </c>
      <c r="P96">
        <v>1</v>
      </c>
      <c r="Q96">
        <f t="shared" si="21"/>
        <v>3.2926409999999998E-5</v>
      </c>
      <c r="R96" s="318">
        <f t="shared" si="22"/>
        <v>3.2926409999999998E-5</v>
      </c>
      <c r="T96" t="s">
        <v>547</v>
      </c>
      <c r="W96">
        <v>3.3000000000000002E-2</v>
      </c>
      <c r="X96" t="s">
        <v>548</v>
      </c>
      <c r="Y96">
        <f>W96*10^(-6)*997.77</f>
        <v>3.2926409999999998E-5</v>
      </c>
      <c r="Z96" t="s">
        <v>241</v>
      </c>
      <c r="AA96" s="325" t="s">
        <v>549</v>
      </c>
      <c r="AB96" s="313">
        <f t="shared" si="17"/>
        <v>3.2926409999999991E-5</v>
      </c>
    </row>
    <row r="97" spans="1:28" s="324" customFormat="1">
      <c r="A97" s="326" t="s">
        <v>545</v>
      </c>
      <c r="B97" s="324">
        <f>0.2*B95+(R95-Q95)</f>
        <v>4.3157894736842142E-6</v>
      </c>
      <c r="C97" s="324" t="s">
        <v>37</v>
      </c>
      <c r="D97" s="324" t="s">
        <v>40</v>
      </c>
      <c r="E97" s="324" t="s">
        <v>456</v>
      </c>
      <c r="F97" s="324" t="s">
        <v>82</v>
      </c>
      <c r="G97" s="324" t="s">
        <v>136</v>
      </c>
      <c r="H97" s="324">
        <v>5</v>
      </c>
      <c r="I97" s="324">
        <f t="shared" si="19"/>
        <v>4.3157894736842142E-6</v>
      </c>
      <c r="J97" s="324" t="s">
        <v>31</v>
      </c>
      <c r="K97" s="324" t="s">
        <v>31</v>
      </c>
      <c r="L97" s="324">
        <f>0.5*B97</f>
        <v>2.1578947368421071E-6</v>
      </c>
      <c r="M97" s="324">
        <f>1.5*B97</f>
        <v>6.4736842105263213E-6</v>
      </c>
      <c r="N97" s="324" t="s">
        <v>550</v>
      </c>
      <c r="O97" s="324" t="s">
        <v>231</v>
      </c>
      <c r="P97" s="324" t="s">
        <v>231</v>
      </c>
      <c r="Q97" s="324" t="s">
        <v>231</v>
      </c>
      <c r="R97" s="327" t="s">
        <v>231</v>
      </c>
      <c r="T97" s="324" t="s">
        <v>547</v>
      </c>
      <c r="W97" s="324">
        <v>3.3000000000000002E-2</v>
      </c>
      <c r="X97" s="324" t="s">
        <v>548</v>
      </c>
      <c r="Y97" s="324">
        <f>W97*100*10^(-6)</f>
        <v>3.3000000000000002E-6</v>
      </c>
      <c r="Z97" s="324" t="s">
        <v>241</v>
      </c>
      <c r="AB97" s="313">
        <f t="shared" si="17"/>
        <v>4.3157894736842142E-6</v>
      </c>
    </row>
    <row r="98" spans="1:28" s="70" customFormat="1">
      <c r="A98" s="309" t="s">
        <v>5</v>
      </c>
      <c r="B98" s="123" t="str">
        <f>A108</f>
        <v>Production of Carbon nanotubes, carbon black</v>
      </c>
      <c r="C98" s="69"/>
      <c r="AB98" s="313">
        <f t="shared" si="17"/>
        <v>0</v>
      </c>
    </row>
    <row r="99" spans="1:28">
      <c r="A99" s="71" t="s">
        <v>7</v>
      </c>
      <c r="B99" t="s">
        <v>456</v>
      </c>
      <c r="C99" s="72"/>
      <c r="AB99" s="313">
        <f t="shared" si="17"/>
        <v>0</v>
      </c>
    </row>
    <row r="100" spans="1:28">
      <c r="A100" s="71" t="s">
        <v>9</v>
      </c>
      <c r="B100" s="310" t="s">
        <v>551</v>
      </c>
      <c r="C100" s="72"/>
      <c r="AB100" s="313">
        <f t="shared" si="17"/>
        <v>0</v>
      </c>
    </row>
    <row r="101" spans="1:28" ht="50.25" customHeight="1">
      <c r="A101" s="71" t="s">
        <v>11</v>
      </c>
      <c r="B101" s="320" t="s">
        <v>552</v>
      </c>
      <c r="AB101" s="313">
        <f t="shared" si="17"/>
        <v>0</v>
      </c>
    </row>
    <row r="102" spans="1:28">
      <c r="A102" s="71" t="s">
        <v>13</v>
      </c>
      <c r="B102" t="s">
        <v>59</v>
      </c>
      <c r="AB102" s="313">
        <f t="shared" si="17"/>
        <v>0</v>
      </c>
    </row>
    <row r="103" spans="1:28">
      <c r="A103" s="71" t="s">
        <v>15</v>
      </c>
      <c r="B103">
        <f>B108</f>
        <v>1</v>
      </c>
      <c r="AB103" s="313">
        <f t="shared" si="17"/>
        <v>0</v>
      </c>
    </row>
    <row r="104" spans="1:28">
      <c r="A104" s="71" t="s">
        <v>16</v>
      </c>
      <c r="B104" t="s">
        <v>17</v>
      </c>
      <c r="AB104" s="313">
        <f t="shared" si="17"/>
        <v>0</v>
      </c>
    </row>
    <row r="105" spans="1:28">
      <c r="A105" s="71" t="s">
        <v>18</v>
      </c>
      <c r="B105" t="s">
        <v>18</v>
      </c>
      <c r="AB105" s="313">
        <f t="shared" si="17"/>
        <v>0</v>
      </c>
    </row>
    <row r="106" spans="1:28">
      <c r="A106" s="311" t="s">
        <v>19</v>
      </c>
      <c r="AB106" s="313">
        <f t="shared" si="17"/>
        <v>0</v>
      </c>
    </row>
    <row r="107" spans="1:28">
      <c r="A107" s="311" t="s">
        <v>20</v>
      </c>
      <c r="B107" s="131" t="s">
        <v>21</v>
      </c>
      <c r="C107" s="131" t="s">
        <v>18</v>
      </c>
      <c r="D107" s="131" t="s">
        <v>22</v>
      </c>
      <c r="E107" s="131" t="s">
        <v>7</v>
      </c>
      <c r="F107" s="131" t="s">
        <v>13</v>
      </c>
      <c r="G107" s="131" t="s">
        <v>16</v>
      </c>
      <c r="H107" s="131" t="s">
        <v>23</v>
      </c>
      <c r="I107" s="131" t="s">
        <v>24</v>
      </c>
      <c r="J107" s="131" t="s">
        <v>25</v>
      </c>
      <c r="K107" s="131" t="s">
        <v>26</v>
      </c>
      <c r="L107" s="131" t="s">
        <v>27</v>
      </c>
      <c r="M107" s="131" t="s">
        <v>28</v>
      </c>
      <c r="AB107" s="313" t="e">
        <f t="shared" si="17"/>
        <v>#VALUE!</v>
      </c>
    </row>
    <row r="108" spans="1:28" s="313" customFormat="1">
      <c r="A108" s="312" t="str">
        <f>A92</f>
        <v>Production of Carbon nanotubes, carbon black</v>
      </c>
      <c r="B108" s="313">
        <v>1</v>
      </c>
      <c r="C108" s="74" t="s">
        <v>18</v>
      </c>
      <c r="D108" s="313" t="s">
        <v>2</v>
      </c>
      <c r="E108" s="313" t="s">
        <v>456</v>
      </c>
      <c r="F108" s="313" t="s">
        <v>59</v>
      </c>
      <c r="G108" s="313" t="s">
        <v>30</v>
      </c>
      <c r="H108" s="313">
        <v>1</v>
      </c>
      <c r="I108" s="313">
        <v>1</v>
      </c>
      <c r="J108" s="313" t="s">
        <v>31</v>
      </c>
      <c r="K108" s="313" t="s">
        <v>31</v>
      </c>
      <c r="L108" s="313" t="s">
        <v>31</v>
      </c>
      <c r="M108" s="313" t="s">
        <v>31</v>
      </c>
      <c r="O108" s="314" t="s">
        <v>464</v>
      </c>
      <c r="P108" s="315" t="s">
        <v>465</v>
      </c>
      <c r="Q108" s="315" t="s">
        <v>21</v>
      </c>
      <c r="R108" s="316" t="s">
        <v>466</v>
      </c>
      <c r="T108" s="315" t="s">
        <v>467</v>
      </c>
      <c r="W108" s="313" t="s">
        <v>535</v>
      </c>
      <c r="AB108" s="313" t="e">
        <f t="shared" si="17"/>
        <v>#VALUE!</v>
      </c>
    </row>
    <row r="109" spans="1:28">
      <c r="A109" t="s">
        <v>298</v>
      </c>
      <c r="B109" s="235">
        <v>3.193E-2</v>
      </c>
      <c r="C109" s="74" t="s">
        <v>37</v>
      </c>
      <c r="D109" t="s">
        <v>40</v>
      </c>
      <c r="E109" t="s">
        <v>456</v>
      </c>
      <c r="F109" t="s">
        <v>59</v>
      </c>
      <c r="G109" t="s">
        <v>33</v>
      </c>
      <c r="H109">
        <v>2</v>
      </c>
      <c r="I109">
        <f>LN(B109)</f>
        <v>-3.4442092722554465</v>
      </c>
      <c r="J109">
        <v>3.0000000000000079E-2</v>
      </c>
      <c r="K109" t="s">
        <v>31</v>
      </c>
      <c r="L109" t="s">
        <v>31</v>
      </c>
      <c r="M109" t="s">
        <v>31</v>
      </c>
      <c r="O109" t="s">
        <v>553</v>
      </c>
      <c r="AB109" s="313" t="e">
        <f t="shared" si="17"/>
        <v>#VALUE!</v>
      </c>
    </row>
    <row r="110" spans="1:28">
      <c r="A110" t="s">
        <v>299</v>
      </c>
      <c r="B110" s="235">
        <v>2.1800000000000001E-3</v>
      </c>
      <c r="C110" s="74" t="s">
        <v>37</v>
      </c>
      <c r="D110" t="s">
        <v>40</v>
      </c>
      <c r="E110" t="s">
        <v>456</v>
      </c>
      <c r="F110" t="s">
        <v>59</v>
      </c>
      <c r="G110" t="s">
        <v>33</v>
      </c>
      <c r="H110">
        <v>2</v>
      </c>
      <c r="I110">
        <f t="shared" ref="I110:I123" si="24">LN(B110)</f>
        <v>-6.1284304021811398</v>
      </c>
      <c r="J110">
        <v>3.0000000000000079E-2</v>
      </c>
      <c r="K110" t="s">
        <v>31</v>
      </c>
      <c r="L110" t="s">
        <v>31</v>
      </c>
      <c r="M110" t="s">
        <v>31</v>
      </c>
      <c r="O110" t="s">
        <v>553</v>
      </c>
      <c r="AB110" s="313" t="e">
        <f t="shared" si="17"/>
        <v>#VALUE!</v>
      </c>
    </row>
    <row r="111" spans="1:28">
      <c r="A111" s="88" t="s">
        <v>300</v>
      </c>
      <c r="B111" s="235">
        <v>6.5500000000000003E-3</v>
      </c>
      <c r="C111" s="74" t="s">
        <v>37</v>
      </c>
      <c r="D111" t="s">
        <v>40</v>
      </c>
      <c r="E111" t="s">
        <v>456</v>
      </c>
      <c r="F111" t="s">
        <v>82</v>
      </c>
      <c r="G111" t="s">
        <v>33</v>
      </c>
      <c r="H111">
        <v>2</v>
      </c>
      <c r="I111">
        <f t="shared" si="24"/>
        <v>-5.028290229334976</v>
      </c>
      <c r="J111">
        <v>3.0000000000000079E-2</v>
      </c>
      <c r="K111" t="s">
        <v>31</v>
      </c>
      <c r="L111" t="s">
        <v>31</v>
      </c>
      <c r="M111" t="s">
        <v>31</v>
      </c>
      <c r="O111" t="s">
        <v>553</v>
      </c>
      <c r="AB111" s="313" t="e">
        <f t="shared" si="17"/>
        <v>#VALUE!</v>
      </c>
    </row>
    <row r="112" spans="1:28">
      <c r="A112" s="88" t="s">
        <v>301</v>
      </c>
      <c r="B112" s="328">
        <v>5.8336100000000002</v>
      </c>
      <c r="C112" s="74" t="s">
        <v>37</v>
      </c>
      <c r="D112" t="s">
        <v>40</v>
      </c>
      <c r="E112" t="s">
        <v>456</v>
      </c>
      <c r="F112" t="s">
        <v>82</v>
      </c>
      <c r="G112" t="s">
        <v>33</v>
      </c>
      <c r="H112">
        <v>2</v>
      </c>
      <c r="I112">
        <f t="shared" si="24"/>
        <v>1.7636360197080883</v>
      </c>
      <c r="J112">
        <v>3.0000000000000079E-2</v>
      </c>
      <c r="K112" t="s">
        <v>31</v>
      </c>
      <c r="L112" t="s">
        <v>31</v>
      </c>
      <c r="M112" t="s">
        <v>31</v>
      </c>
      <c r="O112" t="s">
        <v>553</v>
      </c>
      <c r="AB112" s="313" t="e">
        <f t="shared" si="17"/>
        <v>#VALUE!</v>
      </c>
    </row>
    <row r="113" spans="1:28">
      <c r="A113" t="s">
        <v>302</v>
      </c>
      <c r="B113" s="328">
        <v>5.6340000000000001E-2</v>
      </c>
      <c r="C113" s="74" t="s">
        <v>37</v>
      </c>
      <c r="D113" t="s">
        <v>40</v>
      </c>
      <c r="E113" t="s">
        <v>456</v>
      </c>
      <c r="F113" t="s">
        <v>59</v>
      </c>
      <c r="G113" t="s">
        <v>33</v>
      </c>
      <c r="H113">
        <v>2</v>
      </c>
      <c r="I113">
        <f t="shared" si="24"/>
        <v>-2.8763505165339103</v>
      </c>
      <c r="J113">
        <v>3.0000000000000079E-2</v>
      </c>
      <c r="K113" t="s">
        <v>31</v>
      </c>
      <c r="L113" t="s">
        <v>31</v>
      </c>
      <c r="M113" t="s">
        <v>31</v>
      </c>
      <c r="O113" t="s">
        <v>553</v>
      </c>
      <c r="AB113" s="313" t="e">
        <f t="shared" si="17"/>
        <v>#VALUE!</v>
      </c>
    </row>
    <row r="114" spans="1:28">
      <c r="A114" s="88" t="s">
        <v>307</v>
      </c>
      <c r="B114" s="328">
        <v>3.193E-2</v>
      </c>
      <c r="C114" s="74" t="s">
        <v>37</v>
      </c>
      <c r="D114" t="s">
        <v>40</v>
      </c>
      <c r="E114" t="s">
        <v>456</v>
      </c>
      <c r="F114" t="s">
        <v>59</v>
      </c>
      <c r="G114" t="s">
        <v>33</v>
      </c>
      <c r="H114">
        <v>2</v>
      </c>
      <c r="I114">
        <f t="shared" si="24"/>
        <v>-3.4442092722554465</v>
      </c>
      <c r="J114">
        <v>3.0000000000000079E-2</v>
      </c>
      <c r="K114" t="s">
        <v>31</v>
      </c>
      <c r="L114" t="s">
        <v>31</v>
      </c>
      <c r="M114" t="s">
        <v>31</v>
      </c>
      <c r="O114" t="s">
        <v>553</v>
      </c>
      <c r="AB114" s="313" t="e">
        <f t="shared" si="17"/>
        <v>#VALUE!</v>
      </c>
    </row>
    <row r="115" spans="1:28">
      <c r="A115" s="88" t="s">
        <v>308</v>
      </c>
      <c r="B115" s="328">
        <v>1.435E-2</v>
      </c>
      <c r="C115" s="74" t="s">
        <v>37</v>
      </c>
      <c r="D115" t="s">
        <v>40</v>
      </c>
      <c r="E115" t="s">
        <v>456</v>
      </c>
      <c r="F115" t="s">
        <v>59</v>
      </c>
      <c r="G115" t="s">
        <v>33</v>
      </c>
      <c r="H115">
        <v>2</v>
      </c>
      <c r="I115">
        <f t="shared" si="24"/>
        <v>-4.2440053367765067</v>
      </c>
      <c r="J115">
        <v>3.0000000000000079E-2</v>
      </c>
      <c r="K115" t="s">
        <v>31</v>
      </c>
      <c r="L115" t="s">
        <v>31</v>
      </c>
      <c r="M115" t="s">
        <v>31</v>
      </c>
      <c r="O115" t="s">
        <v>553</v>
      </c>
      <c r="AB115" s="313" t="e">
        <f t="shared" si="17"/>
        <v>#VALUE!</v>
      </c>
    </row>
    <row r="116" spans="1:28">
      <c r="A116" s="88" t="s">
        <v>309</v>
      </c>
      <c r="B116" s="328">
        <v>1.5129999999999999E-2</v>
      </c>
      <c r="C116" s="74" t="s">
        <v>37</v>
      </c>
      <c r="D116" t="s">
        <v>40</v>
      </c>
      <c r="E116" t="s">
        <v>456</v>
      </c>
      <c r="F116" t="s">
        <v>82</v>
      </c>
      <c r="G116" t="s">
        <v>33</v>
      </c>
      <c r="H116">
        <v>2</v>
      </c>
      <c r="I116">
        <f t="shared" si="24"/>
        <v>-4.1910757511818728</v>
      </c>
      <c r="J116">
        <v>3.0000000000000079E-2</v>
      </c>
      <c r="K116" t="s">
        <v>31</v>
      </c>
      <c r="L116" t="s">
        <v>31</v>
      </c>
      <c r="M116" t="s">
        <v>31</v>
      </c>
      <c r="O116" t="s">
        <v>553</v>
      </c>
      <c r="AB116" s="313" t="e">
        <f t="shared" si="17"/>
        <v>#VALUE!</v>
      </c>
    </row>
    <row r="117" spans="1:28">
      <c r="A117" s="88" t="s">
        <v>310</v>
      </c>
      <c r="B117" s="24">
        <v>3.066E-2</v>
      </c>
      <c r="C117" s="74" t="s">
        <v>37</v>
      </c>
      <c r="D117" t="s">
        <v>40</v>
      </c>
      <c r="E117" t="s">
        <v>456</v>
      </c>
      <c r="F117" t="s">
        <v>59</v>
      </c>
      <c r="G117" t="s">
        <v>33</v>
      </c>
      <c r="H117">
        <v>2</v>
      </c>
      <c r="I117">
        <f t="shared" si="24"/>
        <v>-3.4847964055384688</v>
      </c>
      <c r="J117">
        <v>3.0000000000000079E-2</v>
      </c>
      <c r="K117" t="s">
        <v>31</v>
      </c>
      <c r="L117" t="s">
        <v>31</v>
      </c>
      <c r="M117" t="s">
        <v>31</v>
      </c>
      <c r="O117" t="s">
        <v>553</v>
      </c>
      <c r="AB117" s="313" t="e">
        <f t="shared" si="17"/>
        <v>#VALUE!</v>
      </c>
    </row>
    <row r="118" spans="1:28">
      <c r="A118" t="s">
        <v>269</v>
      </c>
      <c r="B118">
        <v>0.65</v>
      </c>
      <c r="C118" t="s">
        <v>39</v>
      </c>
      <c r="D118" t="s">
        <v>40</v>
      </c>
      <c r="E118" t="s">
        <v>456</v>
      </c>
      <c r="F118" t="s">
        <v>59</v>
      </c>
      <c r="G118" t="s">
        <v>33</v>
      </c>
      <c r="H118">
        <v>2</v>
      </c>
      <c r="I118">
        <f t="shared" si="24"/>
        <v>-0.43078291609245423</v>
      </c>
      <c r="J118">
        <v>3.00000000000001E-2</v>
      </c>
      <c r="K118" t="s">
        <v>31</v>
      </c>
      <c r="L118" t="s">
        <v>31</v>
      </c>
      <c r="M118" t="s">
        <v>31</v>
      </c>
      <c r="AB118" s="313" t="e">
        <f t="shared" si="17"/>
        <v>#VALUE!</v>
      </c>
    </row>
    <row r="119" spans="1:28">
      <c r="A119" s="22" t="s">
        <v>70</v>
      </c>
      <c r="B119">
        <v>58.09</v>
      </c>
      <c r="C119" t="s">
        <v>71</v>
      </c>
      <c r="D119" t="s">
        <v>40</v>
      </c>
      <c r="E119" t="s">
        <v>456</v>
      </c>
      <c r="F119" t="s">
        <v>59</v>
      </c>
      <c r="G119" t="s">
        <v>33</v>
      </c>
      <c r="H119">
        <v>2</v>
      </c>
      <c r="I119">
        <f t="shared" si="24"/>
        <v>4.0619935320044416</v>
      </c>
      <c r="J119">
        <v>3.00000000000001E-2</v>
      </c>
      <c r="K119" t="s">
        <v>31</v>
      </c>
      <c r="L119" t="s">
        <v>31</v>
      </c>
      <c r="M119" t="s">
        <v>31</v>
      </c>
      <c r="AB119" s="313" t="e">
        <f t="shared" si="17"/>
        <v>#VALUE!</v>
      </c>
    </row>
    <row r="120" spans="1:28" ht="15">
      <c r="A120" s="59" t="s">
        <v>76</v>
      </c>
      <c r="B120">
        <f>R120</f>
        <v>4.3794662096475145E-4</v>
      </c>
      <c r="C120" s="74" t="s">
        <v>42</v>
      </c>
      <c r="D120" t="s">
        <v>40</v>
      </c>
      <c r="E120" t="s">
        <v>456</v>
      </c>
      <c r="F120" t="s">
        <v>82</v>
      </c>
      <c r="G120" t="s">
        <v>33</v>
      </c>
      <c r="H120">
        <v>2</v>
      </c>
      <c r="I120">
        <f t="shared" si="24"/>
        <v>-7.7334135249580624</v>
      </c>
      <c r="J120">
        <v>3.00000000000001E-2</v>
      </c>
      <c r="K120" t="s">
        <v>31</v>
      </c>
      <c r="L120" t="s">
        <v>31</v>
      </c>
      <c r="M120" t="s">
        <v>31</v>
      </c>
      <c r="O120" t="s">
        <v>554</v>
      </c>
      <c r="P120">
        <v>0.43697000000000003</v>
      </c>
      <c r="Q120" t="s">
        <v>241</v>
      </c>
      <c r="R120">
        <f>P120/997.77</f>
        <v>4.3794662096475145E-4</v>
      </c>
      <c r="S120" t="s">
        <v>251</v>
      </c>
      <c r="T120" s="325" t="s">
        <v>555</v>
      </c>
      <c r="AB120" s="313" t="e">
        <f t="shared" si="17"/>
        <v>#VALUE!</v>
      </c>
    </row>
    <row r="121" spans="1:28">
      <c r="A121" s="59" t="s">
        <v>312</v>
      </c>
      <c r="B121">
        <v>1.435E-2</v>
      </c>
      <c r="C121" s="74" t="s">
        <v>37</v>
      </c>
      <c r="D121" t="s">
        <v>40</v>
      </c>
      <c r="E121" t="s">
        <v>456</v>
      </c>
      <c r="F121" t="s">
        <v>82</v>
      </c>
      <c r="G121" t="s">
        <v>33</v>
      </c>
      <c r="H121">
        <v>2</v>
      </c>
      <c r="I121">
        <f t="shared" si="24"/>
        <v>-4.2440053367765067</v>
      </c>
      <c r="J121">
        <v>3.00000000000001E-2</v>
      </c>
      <c r="K121" t="s">
        <v>31</v>
      </c>
      <c r="L121" t="s">
        <v>31</v>
      </c>
      <c r="M121" t="s">
        <v>31</v>
      </c>
      <c r="AB121" s="313" t="e">
        <f t="shared" si="17"/>
        <v>#VALUE!</v>
      </c>
    </row>
    <row r="122" spans="1:28">
      <c r="A122" s="329" t="s">
        <v>313</v>
      </c>
      <c r="B122">
        <v>0.26802999999999999</v>
      </c>
      <c r="C122" s="74" t="s">
        <v>37</v>
      </c>
      <c r="D122" t="s">
        <v>40</v>
      </c>
      <c r="E122" t="s">
        <v>456</v>
      </c>
      <c r="F122" t="s">
        <v>82</v>
      </c>
      <c r="G122" t="s">
        <v>33</v>
      </c>
      <c r="H122">
        <v>2</v>
      </c>
      <c r="I122">
        <f t="shared" si="24"/>
        <v>-1.3166563644376206</v>
      </c>
      <c r="J122">
        <v>3.00000000000001E-2</v>
      </c>
      <c r="K122" t="s">
        <v>31</v>
      </c>
      <c r="L122" t="s">
        <v>31</v>
      </c>
      <c r="M122" t="s">
        <v>31</v>
      </c>
      <c r="AB122" s="313" t="e">
        <f t="shared" si="17"/>
        <v>#VALUE!</v>
      </c>
    </row>
    <row r="123" spans="1:28">
      <c r="A123" s="88" t="s">
        <v>77</v>
      </c>
      <c r="B123">
        <v>5.5049999999999999</v>
      </c>
      <c r="C123" s="74" t="s">
        <v>37</v>
      </c>
      <c r="D123" s="22" t="s">
        <v>43</v>
      </c>
      <c r="E123" s="88" t="s">
        <v>44</v>
      </c>
      <c r="F123" t="s">
        <v>29</v>
      </c>
      <c r="G123" t="s">
        <v>45</v>
      </c>
      <c r="H123">
        <v>2</v>
      </c>
      <c r="I123">
        <f t="shared" si="24"/>
        <v>1.7056567701746432</v>
      </c>
      <c r="J123">
        <v>3.00000000000001E-2</v>
      </c>
      <c r="K123" t="s">
        <v>31</v>
      </c>
      <c r="L123" t="s">
        <v>31</v>
      </c>
      <c r="M123" t="s">
        <v>31</v>
      </c>
      <c r="AB123" s="313" t="e">
        <f t="shared" si="17"/>
        <v>#VALUE!</v>
      </c>
    </row>
    <row r="124" spans="1:28" s="70" customFormat="1">
      <c r="A124" s="309" t="s">
        <v>5</v>
      </c>
      <c r="B124" s="123" t="str">
        <f>A134</f>
        <v>Production of Perfluorosulfonic acid (PFSA) ionomer</v>
      </c>
      <c r="C124" s="69"/>
      <c r="AB124" s="313">
        <f t="shared" si="17"/>
        <v>0</v>
      </c>
    </row>
    <row r="125" spans="1:28">
      <c r="A125" s="71" t="s">
        <v>7</v>
      </c>
      <c r="B125" t="s">
        <v>456</v>
      </c>
      <c r="C125" s="72"/>
      <c r="AB125" s="313">
        <f t="shared" si="17"/>
        <v>0</v>
      </c>
    </row>
    <row r="126" spans="1:28">
      <c r="A126" s="71" t="s">
        <v>9</v>
      </c>
      <c r="B126" s="310" t="s">
        <v>556</v>
      </c>
      <c r="C126" s="72"/>
      <c r="AB126" s="313">
        <f t="shared" si="17"/>
        <v>0</v>
      </c>
    </row>
    <row r="127" spans="1:28" ht="50.25" customHeight="1">
      <c r="A127" s="71" t="s">
        <v>11</v>
      </c>
      <c r="B127" s="320" t="s">
        <v>557</v>
      </c>
      <c r="AB127" s="313">
        <f t="shared" si="17"/>
        <v>0</v>
      </c>
    </row>
    <row r="128" spans="1:28">
      <c r="A128" s="71" t="s">
        <v>13</v>
      </c>
      <c r="B128" t="s">
        <v>59</v>
      </c>
      <c r="AB128" s="313">
        <f t="shared" si="17"/>
        <v>0</v>
      </c>
    </row>
    <row r="129" spans="1:28">
      <c r="A129" s="71" t="s">
        <v>15</v>
      </c>
      <c r="B129">
        <f>B134</f>
        <v>1</v>
      </c>
      <c r="AB129" s="313">
        <f t="shared" si="17"/>
        <v>0</v>
      </c>
    </row>
    <row r="130" spans="1:28">
      <c r="A130" s="71" t="s">
        <v>16</v>
      </c>
      <c r="B130" t="s">
        <v>17</v>
      </c>
      <c r="AB130" s="313">
        <f t="shared" si="17"/>
        <v>0</v>
      </c>
    </row>
    <row r="131" spans="1:28">
      <c r="A131" s="71" t="s">
        <v>18</v>
      </c>
      <c r="B131" t="str">
        <f>C134</f>
        <v>unit</v>
      </c>
      <c r="AB131" s="313">
        <f t="shared" si="17"/>
        <v>0</v>
      </c>
    </row>
    <row r="132" spans="1:28">
      <c r="A132" s="311" t="s">
        <v>19</v>
      </c>
      <c r="AB132" s="313">
        <f t="shared" si="17"/>
        <v>0</v>
      </c>
    </row>
    <row r="133" spans="1:28">
      <c r="A133" s="311" t="s">
        <v>20</v>
      </c>
      <c r="B133" s="131" t="s">
        <v>21</v>
      </c>
      <c r="C133" s="131" t="s">
        <v>18</v>
      </c>
      <c r="D133" s="131" t="s">
        <v>22</v>
      </c>
      <c r="E133" s="131" t="s">
        <v>7</v>
      </c>
      <c r="F133" s="131" t="s">
        <v>13</v>
      </c>
      <c r="G133" s="131" t="s">
        <v>16</v>
      </c>
      <c r="H133" s="131" t="s">
        <v>23</v>
      </c>
      <c r="I133" s="131" t="s">
        <v>24</v>
      </c>
      <c r="J133" s="131" t="s">
        <v>25</v>
      </c>
      <c r="K133" s="131" t="s">
        <v>26</v>
      </c>
      <c r="L133" s="131" t="s">
        <v>27</v>
      </c>
      <c r="M133" s="131" t="s">
        <v>28</v>
      </c>
      <c r="AB133" s="313" t="e">
        <f t="shared" si="17"/>
        <v>#VALUE!</v>
      </c>
    </row>
    <row r="134" spans="1:28" s="313" customFormat="1">
      <c r="A134" s="312" t="str">
        <f>A94</f>
        <v>Production of Perfluorosulfonic acid (PFSA) ionomer</v>
      </c>
      <c r="B134" s="313">
        <v>1</v>
      </c>
      <c r="C134" t="s">
        <v>18</v>
      </c>
      <c r="D134" s="313" t="s">
        <v>2</v>
      </c>
      <c r="E134" s="313" t="s">
        <v>456</v>
      </c>
      <c r="F134" s="313" t="s">
        <v>59</v>
      </c>
      <c r="G134" s="313" t="s">
        <v>30</v>
      </c>
      <c r="H134" s="313">
        <v>1</v>
      </c>
      <c r="I134" s="313">
        <v>1</v>
      </c>
      <c r="J134" s="313" t="s">
        <v>31</v>
      </c>
      <c r="K134" s="313" t="s">
        <v>31</v>
      </c>
      <c r="L134" s="313" t="s">
        <v>31</v>
      </c>
      <c r="M134" s="313" t="s">
        <v>31</v>
      </c>
      <c r="O134" s="314" t="s">
        <v>464</v>
      </c>
      <c r="P134" s="315" t="s">
        <v>465</v>
      </c>
      <c r="Q134" s="315" t="s">
        <v>21</v>
      </c>
      <c r="R134" s="316" t="s">
        <v>466</v>
      </c>
      <c r="T134" s="315" t="s">
        <v>467</v>
      </c>
      <c r="W134" s="313" t="s">
        <v>535</v>
      </c>
      <c r="AB134" s="313" t="e">
        <f t="shared" si="17"/>
        <v>#VALUE!</v>
      </c>
    </row>
    <row r="135" spans="1:28">
      <c r="A135" t="s">
        <v>558</v>
      </c>
      <c r="B135">
        <v>1.3</v>
      </c>
      <c r="C135" t="s">
        <v>37</v>
      </c>
      <c r="D135" t="s">
        <v>40</v>
      </c>
      <c r="E135" t="s">
        <v>456</v>
      </c>
      <c r="F135" t="s">
        <v>59</v>
      </c>
      <c r="G135" t="s">
        <v>33</v>
      </c>
      <c r="H135">
        <v>0</v>
      </c>
      <c r="I135">
        <f>B135</f>
        <v>1.3</v>
      </c>
      <c r="J135" t="s">
        <v>31</v>
      </c>
      <c r="K135" t="s">
        <v>31</v>
      </c>
      <c r="L135" t="s">
        <v>31</v>
      </c>
      <c r="M135" t="s">
        <v>31</v>
      </c>
      <c r="AB135" s="313" t="e">
        <f t="shared" si="17"/>
        <v>#VALUE!</v>
      </c>
    </row>
    <row r="136" spans="1:28">
      <c r="A136" s="88" t="s">
        <v>559</v>
      </c>
      <c r="B136">
        <v>0.5</v>
      </c>
      <c r="C136" t="s">
        <v>37</v>
      </c>
      <c r="D136" t="s">
        <v>40</v>
      </c>
      <c r="E136" t="s">
        <v>456</v>
      </c>
      <c r="F136" t="s">
        <v>82</v>
      </c>
      <c r="G136" t="s">
        <v>33</v>
      </c>
      <c r="H136">
        <v>0</v>
      </c>
      <c r="I136">
        <f t="shared" ref="I136:I147" si="25">B136</f>
        <v>0.5</v>
      </c>
      <c r="J136" t="s">
        <v>31</v>
      </c>
      <c r="K136" t="s">
        <v>31</v>
      </c>
      <c r="L136" t="s">
        <v>31</v>
      </c>
      <c r="M136" t="s">
        <v>31</v>
      </c>
      <c r="AB136" s="313" t="e">
        <f t="shared" si="17"/>
        <v>#VALUE!</v>
      </c>
    </row>
    <row r="137" spans="1:28">
      <c r="A137" s="88" t="s">
        <v>560</v>
      </c>
      <c r="B137">
        <v>3.2</v>
      </c>
      <c r="C137" t="s">
        <v>37</v>
      </c>
      <c r="D137" t="s">
        <v>40</v>
      </c>
      <c r="E137" t="s">
        <v>456</v>
      </c>
      <c r="F137" t="s">
        <v>59</v>
      </c>
      <c r="G137" t="s">
        <v>33</v>
      </c>
      <c r="H137">
        <v>0</v>
      </c>
      <c r="I137">
        <f t="shared" si="25"/>
        <v>3.2</v>
      </c>
      <c r="J137" t="s">
        <v>31</v>
      </c>
      <c r="K137" t="s">
        <v>31</v>
      </c>
      <c r="L137" t="s">
        <v>31</v>
      </c>
      <c r="M137" t="s">
        <v>31</v>
      </c>
      <c r="O137" s="313" t="s">
        <v>553</v>
      </c>
      <c r="AB137" s="313" t="e">
        <f t="shared" si="17"/>
        <v>#VALUE!</v>
      </c>
    </row>
    <row r="138" spans="1:28">
      <c r="A138" s="88" t="s">
        <v>561</v>
      </c>
      <c r="B138">
        <v>3</v>
      </c>
      <c r="C138" t="s">
        <v>37</v>
      </c>
      <c r="D138" t="s">
        <v>40</v>
      </c>
      <c r="E138" t="s">
        <v>456</v>
      </c>
      <c r="F138" t="s">
        <v>82</v>
      </c>
      <c r="G138" t="s">
        <v>33</v>
      </c>
      <c r="H138">
        <v>0</v>
      </c>
      <c r="I138">
        <f t="shared" si="25"/>
        <v>3</v>
      </c>
      <c r="J138" t="s">
        <v>31</v>
      </c>
      <c r="K138" t="s">
        <v>31</v>
      </c>
      <c r="L138" t="s">
        <v>31</v>
      </c>
      <c r="M138" t="s">
        <v>31</v>
      </c>
      <c r="AB138" s="313" t="e">
        <f t="shared" si="17"/>
        <v>#VALUE!</v>
      </c>
    </row>
    <row r="139" spans="1:28">
      <c r="A139" s="88" t="s">
        <v>310</v>
      </c>
      <c r="B139">
        <v>0.6</v>
      </c>
      <c r="C139" t="s">
        <v>37</v>
      </c>
      <c r="D139" t="s">
        <v>40</v>
      </c>
      <c r="E139" t="s">
        <v>456</v>
      </c>
      <c r="F139" t="s">
        <v>59</v>
      </c>
      <c r="G139" t="s">
        <v>33</v>
      </c>
      <c r="H139">
        <v>0</v>
      </c>
      <c r="I139">
        <f t="shared" si="25"/>
        <v>0.6</v>
      </c>
      <c r="J139" t="s">
        <v>31</v>
      </c>
      <c r="K139" t="s">
        <v>31</v>
      </c>
      <c r="L139" t="s">
        <v>31</v>
      </c>
      <c r="M139" t="s">
        <v>31</v>
      </c>
      <c r="AB139" s="313" t="e">
        <f t="shared" si="17"/>
        <v>#VALUE!</v>
      </c>
    </row>
    <row r="140" spans="1:28">
      <c r="A140" s="88" t="s">
        <v>562</v>
      </c>
      <c r="B140">
        <v>0.11</v>
      </c>
      <c r="C140" t="s">
        <v>37</v>
      </c>
      <c r="D140" t="s">
        <v>40</v>
      </c>
      <c r="E140" t="s">
        <v>456</v>
      </c>
      <c r="F140" t="s">
        <v>59</v>
      </c>
      <c r="G140" t="s">
        <v>33</v>
      </c>
      <c r="H140">
        <v>0</v>
      </c>
      <c r="I140">
        <f t="shared" si="25"/>
        <v>0.11</v>
      </c>
      <c r="J140" t="s">
        <v>31</v>
      </c>
      <c r="K140" t="s">
        <v>31</v>
      </c>
      <c r="L140" t="s">
        <v>31</v>
      </c>
      <c r="M140" t="s">
        <v>31</v>
      </c>
      <c r="AB140" s="313" t="e">
        <f t="shared" si="17"/>
        <v>#VALUE!</v>
      </c>
    </row>
    <row r="141" spans="1:28">
      <c r="A141" s="88" t="s">
        <v>563</v>
      </c>
      <c r="B141" s="115">
        <v>4.0000000000000001E-10</v>
      </c>
      <c r="C141" t="s">
        <v>18</v>
      </c>
      <c r="D141" t="s">
        <v>40</v>
      </c>
      <c r="E141" t="s">
        <v>456</v>
      </c>
      <c r="F141" t="s">
        <v>59</v>
      </c>
      <c r="G141" t="s">
        <v>33</v>
      </c>
      <c r="H141">
        <v>0</v>
      </c>
      <c r="I141">
        <f t="shared" si="25"/>
        <v>4.0000000000000001E-10</v>
      </c>
      <c r="J141" t="s">
        <v>31</v>
      </c>
      <c r="K141" t="s">
        <v>31</v>
      </c>
      <c r="L141" t="s">
        <v>31</v>
      </c>
      <c r="M141" t="s">
        <v>31</v>
      </c>
      <c r="AB141" s="313" t="e">
        <f t="shared" ref="AB141:AB204" si="26">M141-L141</f>
        <v>#VALUE!</v>
      </c>
    </row>
    <row r="142" spans="1:28">
      <c r="A142" s="88" t="s">
        <v>564</v>
      </c>
      <c r="B142">
        <v>0.87</v>
      </c>
      <c r="C142" t="s">
        <v>565</v>
      </c>
      <c r="D142" t="s">
        <v>40</v>
      </c>
      <c r="E142" t="s">
        <v>456</v>
      </c>
      <c r="F142" t="s">
        <v>82</v>
      </c>
      <c r="G142" t="s">
        <v>33</v>
      </c>
      <c r="H142">
        <v>0</v>
      </c>
      <c r="I142">
        <f t="shared" si="25"/>
        <v>0.87</v>
      </c>
      <c r="J142" t="s">
        <v>31</v>
      </c>
      <c r="K142" t="s">
        <v>31</v>
      </c>
      <c r="L142" t="s">
        <v>31</v>
      </c>
      <c r="M142" t="s">
        <v>31</v>
      </c>
      <c r="AB142" s="313" t="e">
        <f t="shared" si="26"/>
        <v>#VALUE!</v>
      </c>
    </row>
    <row r="143" spans="1:28">
      <c r="A143" s="88" t="s">
        <v>566</v>
      </c>
      <c r="B143">
        <v>5.22</v>
      </c>
      <c r="C143" t="s">
        <v>565</v>
      </c>
      <c r="D143" t="s">
        <v>40</v>
      </c>
      <c r="E143" t="s">
        <v>456</v>
      </c>
      <c r="F143" t="s">
        <v>82</v>
      </c>
      <c r="G143" t="s">
        <v>33</v>
      </c>
      <c r="H143">
        <v>0</v>
      </c>
      <c r="I143">
        <f t="shared" si="25"/>
        <v>5.22</v>
      </c>
      <c r="J143" t="s">
        <v>31</v>
      </c>
      <c r="K143" t="s">
        <v>31</v>
      </c>
      <c r="L143" t="s">
        <v>31</v>
      </c>
      <c r="M143" t="s">
        <v>31</v>
      </c>
      <c r="O143" s="131" t="s">
        <v>567</v>
      </c>
      <c r="AB143" s="313" t="e">
        <f t="shared" si="26"/>
        <v>#VALUE!</v>
      </c>
    </row>
    <row r="144" spans="1:28">
      <c r="A144" s="88" t="s">
        <v>77</v>
      </c>
      <c r="B144">
        <v>8.8800000000000004E-2</v>
      </c>
      <c r="C144" s="74" t="s">
        <v>37</v>
      </c>
      <c r="D144" s="22" t="s">
        <v>43</v>
      </c>
      <c r="E144" s="88" t="s">
        <v>44</v>
      </c>
      <c r="F144" t="s">
        <v>29</v>
      </c>
      <c r="G144" t="s">
        <v>45</v>
      </c>
      <c r="H144">
        <v>0</v>
      </c>
      <c r="I144">
        <f t="shared" si="25"/>
        <v>8.8800000000000004E-2</v>
      </c>
      <c r="J144" t="s">
        <v>31</v>
      </c>
      <c r="K144" t="s">
        <v>31</v>
      </c>
      <c r="L144" t="s">
        <v>31</v>
      </c>
      <c r="M144" t="s">
        <v>31</v>
      </c>
      <c r="O144" s="330" t="s">
        <v>568</v>
      </c>
      <c r="R144" t="s">
        <v>569</v>
      </c>
      <c r="AB144" s="313" t="e">
        <f t="shared" si="26"/>
        <v>#VALUE!</v>
      </c>
    </row>
    <row r="145" spans="1:28">
      <c r="A145" s="88" t="s">
        <v>570</v>
      </c>
      <c r="B145">
        <v>2.81</v>
      </c>
      <c r="C145" s="74" t="s">
        <v>37</v>
      </c>
      <c r="D145" t="s">
        <v>40</v>
      </c>
      <c r="E145" t="s">
        <v>456</v>
      </c>
      <c r="F145" t="s">
        <v>82</v>
      </c>
      <c r="G145" t="s">
        <v>33</v>
      </c>
      <c r="H145">
        <v>0</v>
      </c>
      <c r="I145">
        <f t="shared" si="25"/>
        <v>2.81</v>
      </c>
      <c r="J145" t="s">
        <v>31</v>
      </c>
      <c r="K145" t="s">
        <v>31</v>
      </c>
      <c r="L145" t="s">
        <v>31</v>
      </c>
      <c r="M145" t="s">
        <v>31</v>
      </c>
      <c r="O145" s="330" t="s">
        <v>571</v>
      </c>
      <c r="R145" t="s">
        <v>569</v>
      </c>
      <c r="AB145" s="313" t="e">
        <f t="shared" si="26"/>
        <v>#VALUE!</v>
      </c>
    </row>
    <row r="146" spans="1:28">
      <c r="A146" s="88" t="s">
        <v>572</v>
      </c>
      <c r="B146">
        <v>0.11</v>
      </c>
      <c r="C146" s="74" t="s">
        <v>37</v>
      </c>
      <c r="D146" t="s">
        <v>40</v>
      </c>
      <c r="E146" t="s">
        <v>456</v>
      </c>
      <c r="F146" t="s">
        <v>82</v>
      </c>
      <c r="G146" t="s">
        <v>33</v>
      </c>
      <c r="H146">
        <v>0</v>
      </c>
      <c r="I146">
        <f t="shared" si="25"/>
        <v>0.11</v>
      </c>
      <c r="J146" t="s">
        <v>31</v>
      </c>
      <c r="K146" t="s">
        <v>31</v>
      </c>
      <c r="L146" t="s">
        <v>31</v>
      </c>
      <c r="M146" t="s">
        <v>31</v>
      </c>
      <c r="O146" s="330" t="s">
        <v>573</v>
      </c>
      <c r="R146" t="s">
        <v>569</v>
      </c>
      <c r="AB146" s="313" t="e">
        <f t="shared" si="26"/>
        <v>#VALUE!</v>
      </c>
    </row>
    <row r="147" spans="1:28">
      <c r="A147" s="88" t="s">
        <v>574</v>
      </c>
      <c r="B147">
        <v>0.38</v>
      </c>
      <c r="C147" s="74" t="s">
        <v>37</v>
      </c>
      <c r="D147" t="s">
        <v>40</v>
      </c>
      <c r="E147" t="s">
        <v>456</v>
      </c>
      <c r="F147" t="s">
        <v>82</v>
      </c>
      <c r="G147" t="s">
        <v>33</v>
      </c>
      <c r="H147">
        <v>0</v>
      </c>
      <c r="I147">
        <f t="shared" si="25"/>
        <v>0.38</v>
      </c>
      <c r="J147" t="s">
        <v>31</v>
      </c>
      <c r="K147" t="s">
        <v>31</v>
      </c>
      <c r="L147" t="s">
        <v>31</v>
      </c>
      <c r="M147" t="s">
        <v>31</v>
      </c>
      <c r="AB147" s="313" t="e">
        <f t="shared" si="26"/>
        <v>#VALUE!</v>
      </c>
    </row>
    <row r="148" spans="1:28" s="70" customFormat="1">
      <c r="A148" s="309" t="s">
        <v>5</v>
      </c>
      <c r="B148" s="123" t="str">
        <f>A158</f>
        <v>Production of PEMFC_cathode catalyst layer</v>
      </c>
      <c r="C148" s="69"/>
      <c r="AB148" s="313">
        <f t="shared" si="26"/>
        <v>0</v>
      </c>
    </row>
    <row r="149" spans="1:28">
      <c r="A149" s="71" t="s">
        <v>7</v>
      </c>
      <c r="B149" t="s">
        <v>456</v>
      </c>
      <c r="C149" s="72"/>
      <c r="AB149" s="313">
        <f t="shared" si="26"/>
        <v>0</v>
      </c>
    </row>
    <row r="150" spans="1:28">
      <c r="A150" s="71" t="s">
        <v>9</v>
      </c>
      <c r="B150" s="310" t="s">
        <v>575</v>
      </c>
      <c r="C150" s="72"/>
      <c r="AB150" s="313">
        <f t="shared" si="26"/>
        <v>0</v>
      </c>
    </row>
    <row r="151" spans="1:28" ht="50.25" customHeight="1">
      <c r="A151" s="71" t="s">
        <v>11</v>
      </c>
      <c r="B151" s="320" t="s">
        <v>576</v>
      </c>
      <c r="AB151" s="313">
        <f t="shared" si="26"/>
        <v>0</v>
      </c>
    </row>
    <row r="152" spans="1:28">
      <c r="A152" s="71" t="s">
        <v>13</v>
      </c>
      <c r="B152" t="s">
        <v>59</v>
      </c>
      <c r="AB152" s="313">
        <f t="shared" si="26"/>
        <v>0</v>
      </c>
    </row>
    <row r="153" spans="1:28">
      <c r="A153" s="71" t="s">
        <v>15</v>
      </c>
      <c r="B153">
        <f>B158</f>
        <v>1</v>
      </c>
      <c r="AB153" s="313">
        <f t="shared" si="26"/>
        <v>0</v>
      </c>
    </row>
    <row r="154" spans="1:28">
      <c r="A154" s="71" t="s">
        <v>16</v>
      </c>
      <c r="B154" t="s">
        <v>17</v>
      </c>
      <c r="AB154" s="313">
        <f t="shared" si="26"/>
        <v>0</v>
      </c>
    </row>
    <row r="155" spans="1:28">
      <c r="A155" s="71" t="s">
        <v>18</v>
      </c>
      <c r="B155" t="str">
        <f>C158</f>
        <v>unit</v>
      </c>
      <c r="AB155" s="313">
        <f t="shared" si="26"/>
        <v>0</v>
      </c>
    </row>
    <row r="156" spans="1:28">
      <c r="A156" s="311" t="s">
        <v>19</v>
      </c>
      <c r="AB156" s="313">
        <f t="shared" si="26"/>
        <v>0</v>
      </c>
    </row>
    <row r="157" spans="1:28">
      <c r="A157" s="311" t="s">
        <v>20</v>
      </c>
      <c r="B157" s="131" t="s">
        <v>21</v>
      </c>
      <c r="C157" s="131" t="s">
        <v>18</v>
      </c>
      <c r="D157" s="131" t="s">
        <v>22</v>
      </c>
      <c r="E157" s="131" t="s">
        <v>7</v>
      </c>
      <c r="F157" s="131" t="s">
        <v>13</v>
      </c>
      <c r="G157" s="131" t="s">
        <v>16</v>
      </c>
      <c r="H157" s="131" t="s">
        <v>23</v>
      </c>
      <c r="I157" s="131" t="s">
        <v>24</v>
      </c>
      <c r="J157" s="131" t="s">
        <v>25</v>
      </c>
      <c r="K157" s="131" t="s">
        <v>26</v>
      </c>
      <c r="L157" s="131" t="s">
        <v>27</v>
      </c>
      <c r="M157" s="131" t="s">
        <v>28</v>
      </c>
      <c r="AB157" s="313" t="e">
        <f t="shared" si="26"/>
        <v>#VALUE!</v>
      </c>
    </row>
    <row r="158" spans="1:28" s="313" customFormat="1">
      <c r="A158" s="312" t="str">
        <f>A76</f>
        <v>Production of PEMFC_cathode catalyst layer</v>
      </c>
      <c r="B158" s="313">
        <v>1</v>
      </c>
      <c r="C158" t="s">
        <v>18</v>
      </c>
      <c r="D158" s="313" t="s">
        <v>2</v>
      </c>
      <c r="E158" s="313" t="s">
        <v>456</v>
      </c>
      <c r="F158" s="313" t="s">
        <v>59</v>
      </c>
      <c r="G158" s="313" t="s">
        <v>30</v>
      </c>
      <c r="H158" s="313">
        <v>1</v>
      </c>
      <c r="I158" s="313">
        <v>1</v>
      </c>
      <c r="J158" s="313" t="s">
        <v>31</v>
      </c>
      <c r="K158" s="313" t="s">
        <v>31</v>
      </c>
      <c r="L158" s="313" t="s">
        <v>31</v>
      </c>
      <c r="M158" s="313" t="s">
        <v>31</v>
      </c>
      <c r="O158" s="314" t="s">
        <v>464</v>
      </c>
      <c r="P158" s="315" t="s">
        <v>465</v>
      </c>
      <c r="Q158" s="315" t="s">
        <v>21</v>
      </c>
      <c r="R158" s="316" t="s">
        <v>466</v>
      </c>
      <c r="T158" s="315" t="s">
        <v>467</v>
      </c>
      <c r="W158" s="313" t="s">
        <v>535</v>
      </c>
      <c r="AB158" s="313" t="e">
        <f t="shared" si="26"/>
        <v>#VALUE!</v>
      </c>
    </row>
    <row r="159" spans="1:28">
      <c r="A159" s="88" t="s">
        <v>536</v>
      </c>
      <c r="B159">
        <v>6.3157894736842103E-5</v>
      </c>
      <c r="C159" t="s">
        <v>37</v>
      </c>
      <c r="D159" t="s">
        <v>40</v>
      </c>
      <c r="E159" t="s">
        <v>456</v>
      </c>
      <c r="F159" t="s">
        <v>59</v>
      </c>
      <c r="G159" t="s">
        <v>33</v>
      </c>
      <c r="H159">
        <v>5</v>
      </c>
      <c r="I159">
        <f t="shared" ref="I159:I163" si="27">B159</f>
        <v>6.3157894736842103E-5</v>
      </c>
      <c r="J159" t="s">
        <v>31</v>
      </c>
      <c r="K159" t="s">
        <v>31</v>
      </c>
      <c r="L159">
        <f>0</f>
        <v>0</v>
      </c>
      <c r="M159">
        <f>2*B159</f>
        <v>1.2631578947368421E-4</v>
      </c>
      <c r="O159">
        <v>1</v>
      </c>
      <c r="P159">
        <v>0.95</v>
      </c>
      <c r="Q159" cm="1">
        <f t="array" ref="Q159:Q162">W159:W162</f>
        <v>4.9999999999999996E-5</v>
      </c>
      <c r="R159" s="318">
        <f>(Q159/P159)*O159</f>
        <v>5.2631578947368417E-5</v>
      </c>
      <c r="T159" t="s">
        <v>537</v>
      </c>
      <c r="U159">
        <v>50</v>
      </c>
      <c r="V159" t="s">
        <v>538</v>
      </c>
      <c r="W159">
        <f>10^(-6)*U159</f>
        <v>4.9999999999999996E-5</v>
      </c>
      <c r="X159" t="s">
        <v>241</v>
      </c>
      <c r="AB159" s="313">
        <f t="shared" si="26"/>
        <v>1.2631578947368421E-4</v>
      </c>
    </row>
    <row r="160" spans="1:28">
      <c r="A160" t="str">
        <f>A108</f>
        <v>Production of Carbon nanotubes, carbon black</v>
      </c>
      <c r="B160">
        <v>6.3157894736842103E-5</v>
      </c>
      <c r="C160" t="str">
        <f t="shared" ref="C160:F160" si="28">C108</f>
        <v>unit</v>
      </c>
      <c r="D160" t="str">
        <f t="shared" si="28"/>
        <v>GENESIS_2050_PEMFC-bat_Base</v>
      </c>
      <c r="E160" t="str">
        <f t="shared" si="28"/>
        <v>FC-PEM, Long-Term</v>
      </c>
      <c r="F160" t="str">
        <f t="shared" si="28"/>
        <v>GLO</v>
      </c>
      <c r="G160" t="s">
        <v>33</v>
      </c>
      <c r="H160">
        <v>5</v>
      </c>
      <c r="I160">
        <f t="shared" si="27"/>
        <v>6.3157894736842103E-5</v>
      </c>
      <c r="J160" t="s">
        <v>31</v>
      </c>
      <c r="K160" t="s">
        <v>31</v>
      </c>
      <c r="L160">
        <v>0</v>
      </c>
      <c r="M160">
        <f t="shared" ref="M160:M161" si="29">2*B160</f>
        <v>1.2631578947368421E-4</v>
      </c>
      <c r="O160">
        <v>1</v>
      </c>
      <c r="P160">
        <v>0.95</v>
      </c>
      <c r="Q160">
        <v>4.9999999999999996E-5</v>
      </c>
      <c r="R160" s="318">
        <f t="shared" ref="R160:R161" si="30">(Q160/P160)*O160</f>
        <v>5.2631578947368417E-5</v>
      </c>
      <c r="T160" t="s">
        <v>537</v>
      </c>
      <c r="U160">
        <v>50</v>
      </c>
      <c r="V160" t="s">
        <v>538</v>
      </c>
      <c r="W160">
        <f t="shared" ref="W160:W161" si="31">10^(-6)*U160</f>
        <v>4.9999999999999996E-5</v>
      </c>
      <c r="X160" t="s">
        <v>241</v>
      </c>
      <c r="AB160" s="313">
        <f t="shared" si="26"/>
        <v>1.2631578947368421E-4</v>
      </c>
    </row>
    <row r="161" spans="1:28">
      <c r="A161" t="str">
        <f>A134</f>
        <v>Production of Perfluorosulfonic acid (PFSA) ionomer</v>
      </c>
      <c r="B161">
        <v>1.5157894736842105E-5</v>
      </c>
      <c r="C161" t="str">
        <f t="shared" ref="C161:F161" si="32">C134</f>
        <v>unit</v>
      </c>
      <c r="D161" t="str">
        <f t="shared" si="32"/>
        <v>GENESIS_2050_PEMFC-bat_Base</v>
      </c>
      <c r="E161" t="str">
        <f t="shared" si="32"/>
        <v>FC-PEM, Long-Term</v>
      </c>
      <c r="F161" t="str">
        <f t="shared" si="32"/>
        <v>GLO</v>
      </c>
      <c r="G161" t="s">
        <v>33</v>
      </c>
      <c r="H161">
        <v>5</v>
      </c>
      <c r="I161">
        <f t="shared" si="27"/>
        <v>1.5157894736842105E-5</v>
      </c>
      <c r="J161" t="s">
        <v>31</v>
      </c>
      <c r="K161" t="s">
        <v>31</v>
      </c>
      <c r="L161">
        <v>0</v>
      </c>
      <c r="M161">
        <f t="shared" si="29"/>
        <v>3.0315789473684211E-5</v>
      </c>
      <c r="O161" s="23">
        <f>3/5</f>
        <v>0.6</v>
      </c>
      <c r="P161">
        <v>0.95</v>
      </c>
      <c r="Q161">
        <v>1.9999999999999998E-5</v>
      </c>
      <c r="R161" s="318">
        <f t="shared" si="30"/>
        <v>1.2631578947368421E-5</v>
      </c>
      <c r="T161" t="s">
        <v>537</v>
      </c>
      <c r="U161">
        <v>20</v>
      </c>
      <c r="V161" t="s">
        <v>538</v>
      </c>
      <c r="W161">
        <f t="shared" si="31"/>
        <v>1.9999999999999998E-5</v>
      </c>
      <c r="X161" t="s">
        <v>241</v>
      </c>
      <c r="AB161" s="313">
        <f t="shared" si="26"/>
        <v>3.0315789473684211E-5</v>
      </c>
    </row>
    <row r="162" spans="1:28">
      <c r="A162" s="205" t="s">
        <v>545</v>
      </c>
      <c r="B162">
        <v>7.5789473684210538E-5</v>
      </c>
      <c r="C162" t="s">
        <v>37</v>
      </c>
      <c r="D162" t="s">
        <v>40</v>
      </c>
      <c r="E162" s="313" t="s">
        <v>456</v>
      </c>
      <c r="F162" t="s">
        <v>82</v>
      </c>
      <c r="G162" t="s">
        <v>33</v>
      </c>
      <c r="H162">
        <v>5</v>
      </c>
      <c r="I162">
        <f t="shared" si="27"/>
        <v>7.5789473684210538E-5</v>
      </c>
      <c r="J162" t="s">
        <v>31</v>
      </c>
      <c r="K162" t="s">
        <v>31</v>
      </c>
      <c r="L162">
        <f>0.5*B162</f>
        <v>3.7894736842105269E-5</v>
      </c>
      <c r="M162">
        <f>1.5*B162</f>
        <v>1.136842105263158E-4</v>
      </c>
      <c r="N162" t="s">
        <v>577</v>
      </c>
      <c r="O162">
        <v>1</v>
      </c>
      <c r="P162">
        <v>1</v>
      </c>
      <c r="Q162">
        <v>6.3200000000000005E-5</v>
      </c>
      <c r="R162" s="318">
        <f>(Q162/P162)*O162</f>
        <v>6.3200000000000005E-5</v>
      </c>
      <c r="T162" t="s">
        <v>547</v>
      </c>
      <c r="U162">
        <v>0.63200000000000001</v>
      </c>
      <c r="V162" t="s">
        <v>548</v>
      </c>
      <c r="W162" s="324">
        <f>U162*100*10^(-6)</f>
        <v>6.3200000000000005E-5</v>
      </c>
      <c r="X162" t="s">
        <v>241</v>
      </c>
      <c r="AB162" s="313">
        <f t="shared" si="26"/>
        <v>7.5789473684210524E-5</v>
      </c>
    </row>
    <row r="163" spans="1:28">
      <c r="A163" t="s">
        <v>75</v>
      </c>
      <c r="B163">
        <f>R163</f>
        <v>0.75774307580210498</v>
      </c>
      <c r="C163" t="s">
        <v>37</v>
      </c>
      <c r="D163" t="s">
        <v>40</v>
      </c>
      <c r="E163" s="313" t="s">
        <v>456</v>
      </c>
      <c r="F163" t="s">
        <v>59</v>
      </c>
      <c r="G163" t="s">
        <v>33</v>
      </c>
      <c r="H163">
        <v>5</v>
      </c>
      <c r="I163">
        <f t="shared" si="27"/>
        <v>0.75774307580210498</v>
      </c>
      <c r="J163" s="313" t="s">
        <v>31</v>
      </c>
      <c r="K163" s="313" t="s">
        <v>31</v>
      </c>
      <c r="L163">
        <f>0.5*B163</f>
        <v>0.37887153790105249</v>
      </c>
      <c r="M163">
        <f>1.5*B163</f>
        <v>1.1366146137031574</v>
      </c>
      <c r="N163" t="s">
        <v>577</v>
      </c>
      <c r="O163">
        <v>1</v>
      </c>
      <c r="P163">
        <v>1</v>
      </c>
      <c r="Q163" s="331">
        <f>0.757894736842105-997.77*0.152*10^-6</f>
        <v>0.75774307580210498</v>
      </c>
      <c r="R163" s="318">
        <f>(Q163/P163)*O163</f>
        <v>0.75774307580210498</v>
      </c>
      <c r="T163" t="s">
        <v>547</v>
      </c>
      <c r="AB163" s="313">
        <f t="shared" si="26"/>
        <v>0.75774307580210487</v>
      </c>
    </row>
    <row r="164" spans="1:28" s="70" customFormat="1">
      <c r="A164" s="309" t="s">
        <v>5</v>
      </c>
      <c r="B164" s="123" t="str">
        <f>A174</f>
        <v>Production of PEMFC_electrolyte membrane</v>
      </c>
      <c r="C164" s="69"/>
      <c r="AB164" s="313">
        <f t="shared" si="26"/>
        <v>0</v>
      </c>
    </row>
    <row r="165" spans="1:28">
      <c r="A165" s="71" t="s">
        <v>7</v>
      </c>
      <c r="B165" t="s">
        <v>456</v>
      </c>
      <c r="C165" s="72"/>
      <c r="AB165" s="313">
        <f t="shared" si="26"/>
        <v>0</v>
      </c>
    </row>
    <row r="166" spans="1:28">
      <c r="A166" s="71" t="s">
        <v>9</v>
      </c>
      <c r="B166" s="310" t="s">
        <v>578</v>
      </c>
      <c r="C166" s="72"/>
      <c r="AB166" s="313">
        <f t="shared" si="26"/>
        <v>0</v>
      </c>
    </row>
    <row r="167" spans="1:28" ht="50.25" customHeight="1">
      <c r="A167" s="71" t="s">
        <v>11</v>
      </c>
      <c r="B167" s="320" t="s">
        <v>579</v>
      </c>
      <c r="AB167" s="313">
        <f t="shared" si="26"/>
        <v>0</v>
      </c>
    </row>
    <row r="168" spans="1:28">
      <c r="A168" s="71" t="s">
        <v>13</v>
      </c>
      <c r="B168" t="s">
        <v>59</v>
      </c>
      <c r="AB168" s="313">
        <f t="shared" si="26"/>
        <v>0</v>
      </c>
    </row>
    <row r="169" spans="1:28">
      <c r="A169" s="71" t="s">
        <v>15</v>
      </c>
      <c r="B169">
        <f>B174</f>
        <v>1</v>
      </c>
      <c r="AB169" s="313">
        <f t="shared" si="26"/>
        <v>0</v>
      </c>
    </row>
    <row r="170" spans="1:28">
      <c r="A170" s="71" t="s">
        <v>16</v>
      </c>
      <c r="B170" t="s">
        <v>17</v>
      </c>
      <c r="AB170" s="313">
        <f t="shared" si="26"/>
        <v>0</v>
      </c>
    </row>
    <row r="171" spans="1:28">
      <c r="A171" s="71" t="s">
        <v>18</v>
      </c>
      <c r="B171" t="str">
        <f>C174</f>
        <v>unit</v>
      </c>
      <c r="AB171" s="313">
        <f t="shared" si="26"/>
        <v>0</v>
      </c>
    </row>
    <row r="172" spans="1:28">
      <c r="A172" s="311" t="s">
        <v>19</v>
      </c>
      <c r="AB172" s="313">
        <f t="shared" si="26"/>
        <v>0</v>
      </c>
    </row>
    <row r="173" spans="1:28">
      <c r="A173" s="311" t="s">
        <v>20</v>
      </c>
      <c r="B173" s="131" t="s">
        <v>21</v>
      </c>
      <c r="C173" s="131" t="s">
        <v>18</v>
      </c>
      <c r="D173" s="131" t="s">
        <v>22</v>
      </c>
      <c r="E173" s="131" t="s">
        <v>7</v>
      </c>
      <c r="F173" s="131" t="s">
        <v>13</v>
      </c>
      <c r="G173" s="131" t="s">
        <v>16</v>
      </c>
      <c r="H173" s="131" t="s">
        <v>23</v>
      </c>
      <c r="I173" s="131" t="s">
        <v>24</v>
      </c>
      <c r="J173" s="131" t="s">
        <v>25</v>
      </c>
      <c r="K173" s="131" t="s">
        <v>26</v>
      </c>
      <c r="L173" s="131" t="s">
        <v>27</v>
      </c>
      <c r="M173" s="131" t="s">
        <v>28</v>
      </c>
      <c r="AB173" s="313" t="e">
        <f t="shared" si="26"/>
        <v>#VALUE!</v>
      </c>
    </row>
    <row r="174" spans="1:28" s="313" customFormat="1">
      <c r="A174" s="312" t="str">
        <f>A77</f>
        <v>Production of PEMFC_electrolyte membrane</v>
      </c>
      <c r="B174" s="313">
        <v>1</v>
      </c>
      <c r="C174" s="24" t="s">
        <v>18</v>
      </c>
      <c r="D174" s="313" t="s">
        <v>2</v>
      </c>
      <c r="E174" s="313" t="s">
        <v>456</v>
      </c>
      <c r="F174" s="313" t="s">
        <v>59</v>
      </c>
      <c r="G174" s="313" t="s">
        <v>30</v>
      </c>
      <c r="H174" s="313">
        <v>1</v>
      </c>
      <c r="I174" s="313">
        <v>1</v>
      </c>
      <c r="J174" s="313" t="s">
        <v>31</v>
      </c>
      <c r="K174" s="313" t="s">
        <v>31</v>
      </c>
      <c r="L174" s="313" t="s">
        <v>31</v>
      </c>
      <c r="M174" s="313" t="s">
        <v>31</v>
      </c>
      <c r="O174" s="314" t="s">
        <v>464</v>
      </c>
      <c r="P174" s="315" t="s">
        <v>465</v>
      </c>
      <c r="Q174" s="315" t="s">
        <v>21</v>
      </c>
      <c r="R174" s="316" t="s">
        <v>466</v>
      </c>
      <c r="T174" s="315" t="s">
        <v>467</v>
      </c>
      <c r="W174" s="313" t="s">
        <v>535</v>
      </c>
      <c r="AB174" s="313" t="e">
        <f t="shared" si="26"/>
        <v>#VALUE!</v>
      </c>
    </row>
    <row r="175" spans="1:28">
      <c r="A175" s="24" t="s">
        <v>543</v>
      </c>
      <c r="B175" s="24">
        <f>R175</f>
        <v>0.25510204081632654</v>
      </c>
      <c r="C175" s="24" t="str">
        <f t="shared" ref="C175:F176" si="33">C134</f>
        <v>unit</v>
      </c>
      <c r="D175" s="24" t="str">
        <f t="shared" si="33"/>
        <v>GENESIS_2050_PEMFC-bat_Base</v>
      </c>
      <c r="E175" s="24" t="str">
        <f t="shared" si="33"/>
        <v>FC-PEM, Long-Term</v>
      </c>
      <c r="F175" s="24" t="str">
        <f t="shared" si="33"/>
        <v>GLO</v>
      </c>
      <c r="G175" s="24" t="s">
        <v>33</v>
      </c>
      <c r="H175" s="24">
        <v>5</v>
      </c>
      <c r="I175">
        <f t="shared" ref="I175:I176" si="34">B175</f>
        <v>0.25510204081632654</v>
      </c>
      <c r="J175" s="313" t="s">
        <v>31</v>
      </c>
      <c r="K175" s="313" t="s">
        <v>31</v>
      </c>
      <c r="L175">
        <f>0</f>
        <v>0</v>
      </c>
      <c r="M175">
        <f t="shared" ref="M175:M176" si="35">2*B175</f>
        <v>0.51020408163265307</v>
      </c>
      <c r="O175">
        <v>1</v>
      </c>
      <c r="P175">
        <v>0.98</v>
      </c>
      <c r="Q175">
        <v>0.25</v>
      </c>
      <c r="R175" s="318">
        <f>(Q175/P175)*O175</f>
        <v>0.25510204081632654</v>
      </c>
      <c r="T175" t="s">
        <v>537</v>
      </c>
      <c r="U175">
        <v>0.48000000000000004</v>
      </c>
      <c r="V175" t="s">
        <v>580</v>
      </c>
      <c r="W175">
        <f>0.001*U175</f>
        <v>4.8000000000000007E-4</v>
      </c>
      <c r="X175" t="s">
        <v>241</v>
      </c>
      <c r="AB175" s="313">
        <f t="shared" si="26"/>
        <v>0.51020408163265307</v>
      </c>
    </row>
    <row r="176" spans="1:28">
      <c r="A176" s="205" t="s">
        <v>581</v>
      </c>
      <c r="B176" s="24">
        <f>R176</f>
        <v>8.5034013605442167E-3</v>
      </c>
      <c r="C176" s="24" t="s">
        <v>18</v>
      </c>
      <c r="D176" s="24" t="s">
        <v>2</v>
      </c>
      <c r="E176" s="24" t="str">
        <f t="shared" si="33"/>
        <v>FC-PEM, Long-Term</v>
      </c>
      <c r="F176" s="24" t="str">
        <f t="shared" si="33"/>
        <v>GLO</v>
      </c>
      <c r="G176" s="24" t="s">
        <v>33</v>
      </c>
      <c r="H176" s="24">
        <v>5</v>
      </c>
      <c r="I176">
        <f t="shared" si="34"/>
        <v>8.5034013605442167E-3</v>
      </c>
      <c r="J176" s="313" t="s">
        <v>31</v>
      </c>
      <c r="K176" s="313" t="s">
        <v>31</v>
      </c>
      <c r="L176">
        <f>0</f>
        <v>0</v>
      </c>
      <c r="M176">
        <f t="shared" si="35"/>
        <v>1.7006802721088433E-2</v>
      </c>
      <c r="N176" t="s">
        <v>582</v>
      </c>
      <c r="O176">
        <f>2/3</f>
        <v>0.66666666666666663</v>
      </c>
      <c r="P176">
        <v>0.98</v>
      </c>
      <c r="Q176">
        <v>1.2500000000000001E-2</v>
      </c>
      <c r="R176" s="318">
        <f t="shared" ref="R176" si="36">(Q176/P176)*O176</f>
        <v>8.5034013605442167E-3</v>
      </c>
      <c r="T176" t="s">
        <v>537</v>
      </c>
      <c r="U176">
        <v>1.5000000000000001E-2</v>
      </c>
      <c r="V176" t="s">
        <v>580</v>
      </c>
      <c r="W176">
        <f t="shared" ref="W176" si="37">0.001*U176</f>
        <v>1.5000000000000002E-5</v>
      </c>
      <c r="X176" t="s">
        <v>241</v>
      </c>
      <c r="AB176" s="313">
        <f t="shared" si="26"/>
        <v>1.7006802721088433E-2</v>
      </c>
    </row>
    <row r="177" spans="1:28" s="70" customFormat="1">
      <c r="A177" s="309" t="s">
        <v>5</v>
      </c>
      <c r="B177" s="123" t="str">
        <f>A187</f>
        <v>Production of Polytetrafluoroethylene, PTFE reinforcement</v>
      </c>
      <c r="C177" s="69"/>
      <c r="AB177" s="313">
        <f t="shared" si="26"/>
        <v>0</v>
      </c>
    </row>
    <row r="178" spans="1:28">
      <c r="A178" s="71" t="s">
        <v>7</v>
      </c>
      <c r="B178" t="s">
        <v>456</v>
      </c>
      <c r="C178" s="72"/>
      <c r="AB178" s="313">
        <f t="shared" si="26"/>
        <v>0</v>
      </c>
    </row>
    <row r="179" spans="1:28">
      <c r="A179" s="71" t="s">
        <v>9</v>
      </c>
      <c r="B179" s="310" t="s">
        <v>583</v>
      </c>
      <c r="C179" s="72"/>
      <c r="AB179" s="313">
        <f t="shared" si="26"/>
        <v>0</v>
      </c>
    </row>
    <row r="180" spans="1:28" ht="50.25" customHeight="1">
      <c r="A180" s="71" t="s">
        <v>11</v>
      </c>
      <c r="B180" s="320" t="s">
        <v>584</v>
      </c>
      <c r="AB180" s="313">
        <f t="shared" si="26"/>
        <v>0</v>
      </c>
    </row>
    <row r="181" spans="1:28">
      <c r="A181" s="71" t="s">
        <v>13</v>
      </c>
      <c r="B181" t="s">
        <v>59</v>
      </c>
      <c r="AB181" s="313">
        <f t="shared" si="26"/>
        <v>0</v>
      </c>
    </row>
    <row r="182" spans="1:28">
      <c r="A182" s="71" t="s">
        <v>15</v>
      </c>
      <c r="B182">
        <f>B187</f>
        <v>1</v>
      </c>
      <c r="AB182" s="313">
        <f t="shared" si="26"/>
        <v>0</v>
      </c>
    </row>
    <row r="183" spans="1:28">
      <c r="A183" s="71" t="s">
        <v>16</v>
      </c>
      <c r="B183" t="s">
        <v>17</v>
      </c>
      <c r="AB183" s="313">
        <f t="shared" si="26"/>
        <v>0</v>
      </c>
    </row>
    <row r="184" spans="1:28">
      <c r="A184" s="71" t="s">
        <v>18</v>
      </c>
      <c r="B184" t="str">
        <f>C187</f>
        <v>unit</v>
      </c>
      <c r="AB184" s="313">
        <f t="shared" si="26"/>
        <v>0</v>
      </c>
    </row>
    <row r="185" spans="1:28">
      <c r="A185" s="311" t="s">
        <v>19</v>
      </c>
      <c r="AB185" s="313">
        <f t="shared" si="26"/>
        <v>0</v>
      </c>
    </row>
    <row r="186" spans="1:28">
      <c r="A186" s="311" t="s">
        <v>20</v>
      </c>
      <c r="B186" s="131" t="s">
        <v>21</v>
      </c>
      <c r="C186" s="131" t="s">
        <v>18</v>
      </c>
      <c r="D186" s="131" t="s">
        <v>22</v>
      </c>
      <c r="E186" s="131" t="s">
        <v>7</v>
      </c>
      <c r="F186" s="131" t="s">
        <v>13</v>
      </c>
      <c r="G186" s="131" t="s">
        <v>16</v>
      </c>
      <c r="H186" s="131" t="s">
        <v>23</v>
      </c>
      <c r="I186" s="131" t="s">
        <v>24</v>
      </c>
      <c r="J186" s="131" t="s">
        <v>25</v>
      </c>
      <c r="K186" s="131" t="s">
        <v>26</v>
      </c>
      <c r="L186" s="131" t="s">
        <v>27</v>
      </c>
      <c r="M186" s="131" t="s">
        <v>28</v>
      </c>
      <c r="AB186" s="313" t="e">
        <f t="shared" si="26"/>
        <v>#VALUE!</v>
      </c>
    </row>
    <row r="187" spans="1:28" s="313" customFormat="1">
      <c r="A187" s="312" t="str">
        <f>A176</f>
        <v>Production of Polytetrafluoroethylene, PTFE reinforcement</v>
      </c>
      <c r="B187" s="313">
        <v>1</v>
      </c>
      <c r="C187" t="s">
        <v>18</v>
      </c>
      <c r="D187" s="313" t="s">
        <v>2</v>
      </c>
      <c r="E187" s="313" t="s">
        <v>456</v>
      </c>
      <c r="F187" s="313" t="s">
        <v>59</v>
      </c>
      <c r="G187" s="313" t="s">
        <v>30</v>
      </c>
      <c r="H187" s="313">
        <v>1</v>
      </c>
      <c r="I187" s="313">
        <v>1</v>
      </c>
      <c r="J187" s="313" t="s">
        <v>31</v>
      </c>
      <c r="K187" s="313" t="s">
        <v>31</v>
      </c>
      <c r="L187" s="313" t="s">
        <v>31</v>
      </c>
      <c r="M187" s="313" t="s">
        <v>31</v>
      </c>
      <c r="O187" s="314" t="s">
        <v>464</v>
      </c>
      <c r="P187" s="315" t="s">
        <v>465</v>
      </c>
      <c r="Q187" s="315" t="s">
        <v>21</v>
      </c>
      <c r="R187" s="316" t="s">
        <v>466</v>
      </c>
      <c r="T187" s="315" t="s">
        <v>467</v>
      </c>
      <c r="W187" s="313" t="s">
        <v>535</v>
      </c>
      <c r="AB187" s="313" t="e">
        <f t="shared" si="26"/>
        <v>#VALUE!</v>
      </c>
    </row>
    <row r="188" spans="1:28">
      <c r="A188" t="s">
        <v>585</v>
      </c>
      <c r="B188">
        <v>1.81</v>
      </c>
      <c r="C188" t="s">
        <v>37</v>
      </c>
      <c r="D188" s="24" t="str">
        <f t="shared" ref="D188" si="38">D147</f>
        <v>ecoinvent_remind_SSP2-Base_2050</v>
      </c>
      <c r="E188" s="313" t="s">
        <v>456</v>
      </c>
      <c r="F188" t="s">
        <v>82</v>
      </c>
      <c r="G188" s="24" t="s">
        <v>33</v>
      </c>
      <c r="H188">
        <v>2</v>
      </c>
      <c r="I188">
        <f>LN(B188)</f>
        <v>0.59332684527773438</v>
      </c>
      <c r="J188" s="113">
        <v>1.22</v>
      </c>
      <c r="K188" t="s">
        <v>31</v>
      </c>
      <c r="L188" t="s">
        <v>31</v>
      </c>
      <c r="M188" t="s">
        <v>31</v>
      </c>
      <c r="AB188" s="313" t="e">
        <f t="shared" si="26"/>
        <v>#VALUE!</v>
      </c>
    </row>
    <row r="189" spans="1:28">
      <c r="A189" s="88" t="s">
        <v>563</v>
      </c>
      <c r="B189" s="115">
        <v>4.0000000000000001E-10</v>
      </c>
      <c r="C189" t="s">
        <v>18</v>
      </c>
      <c r="D189" s="24" t="s">
        <v>40</v>
      </c>
      <c r="E189" s="313" t="s">
        <v>456</v>
      </c>
      <c r="F189" t="s">
        <v>59</v>
      </c>
      <c r="G189" s="24" t="s">
        <v>33</v>
      </c>
      <c r="H189">
        <v>2</v>
      </c>
      <c r="I189">
        <f>LN(B189)</f>
        <v>-21.639556568820566</v>
      </c>
      <c r="J189">
        <v>3.9</v>
      </c>
      <c r="K189" t="s">
        <v>31</v>
      </c>
      <c r="L189" t="s">
        <v>31</v>
      </c>
      <c r="M189" t="s">
        <v>31</v>
      </c>
      <c r="AB189" s="313" t="e">
        <f t="shared" si="26"/>
        <v>#VALUE!</v>
      </c>
    </row>
    <row r="190" spans="1:28">
      <c r="A190" s="88" t="s">
        <v>300</v>
      </c>
      <c r="B190">
        <v>0.18</v>
      </c>
      <c r="C190" t="s">
        <v>37</v>
      </c>
      <c r="D190" s="24" t="s">
        <v>40</v>
      </c>
      <c r="E190" s="313" t="s">
        <v>456</v>
      </c>
      <c r="F190" t="s">
        <v>82</v>
      </c>
      <c r="G190" s="24" t="s">
        <v>33</v>
      </c>
      <c r="H190">
        <v>0</v>
      </c>
      <c r="I190">
        <f>B190</f>
        <v>0.18</v>
      </c>
      <c r="J190" t="s">
        <v>31</v>
      </c>
      <c r="K190" t="s">
        <v>31</v>
      </c>
      <c r="L190" t="s">
        <v>31</v>
      </c>
      <c r="M190" t="s">
        <v>31</v>
      </c>
      <c r="N190" t="s">
        <v>586</v>
      </c>
      <c r="AB190" s="313" t="e">
        <f t="shared" si="26"/>
        <v>#VALUE!</v>
      </c>
    </row>
    <row r="191" spans="1:28">
      <c r="A191" s="22" t="s">
        <v>70</v>
      </c>
      <c r="B191">
        <v>5</v>
      </c>
      <c r="C191" t="s">
        <v>71</v>
      </c>
      <c r="D191" t="s">
        <v>40</v>
      </c>
      <c r="E191" s="313" t="s">
        <v>456</v>
      </c>
      <c r="F191" t="s">
        <v>59</v>
      </c>
      <c r="G191" t="s">
        <v>33</v>
      </c>
      <c r="H191">
        <v>2</v>
      </c>
      <c r="I191">
        <f t="shared" ref="I191" si="39">LN(B191)</f>
        <v>1.6094379124341003</v>
      </c>
      <c r="J191">
        <v>0.3009983388658482</v>
      </c>
      <c r="K191" t="s">
        <v>31</v>
      </c>
      <c r="L191" t="s">
        <v>31</v>
      </c>
      <c r="M191" t="s">
        <v>31</v>
      </c>
      <c r="AB191" s="313" t="e">
        <f t="shared" si="26"/>
        <v>#VALUE!</v>
      </c>
    </row>
    <row r="192" spans="1:28">
      <c r="A192" s="88" t="s">
        <v>587</v>
      </c>
      <c r="B192">
        <v>1.2199999999999999E-3</v>
      </c>
      <c r="C192" t="s">
        <v>37</v>
      </c>
      <c r="D192" t="s">
        <v>40</v>
      </c>
      <c r="E192" s="313" t="s">
        <v>456</v>
      </c>
      <c r="F192" t="s">
        <v>35</v>
      </c>
      <c r="G192" s="24" t="s">
        <v>33</v>
      </c>
      <c r="H192">
        <v>2</v>
      </c>
      <c r="I192">
        <f>LN(B192)</f>
        <v>-6.7089044202369719</v>
      </c>
      <c r="J192">
        <v>1.33</v>
      </c>
      <c r="K192" t="s">
        <v>31</v>
      </c>
      <c r="L192" t="s">
        <v>31</v>
      </c>
      <c r="M192" t="s">
        <v>31</v>
      </c>
      <c r="N192" t="s">
        <v>588</v>
      </c>
      <c r="AB192" s="313" t="e">
        <f t="shared" si="26"/>
        <v>#VALUE!</v>
      </c>
    </row>
    <row r="193" spans="1:28">
      <c r="A193" s="88" t="s">
        <v>589</v>
      </c>
      <c r="B193">
        <v>4.3899999999999998E-3</v>
      </c>
      <c r="C193" t="s">
        <v>37</v>
      </c>
      <c r="D193" t="s">
        <v>40</v>
      </c>
      <c r="E193" s="313" t="s">
        <v>456</v>
      </c>
      <c r="F193" t="s">
        <v>82</v>
      </c>
      <c r="G193" s="24" t="s">
        <v>33</v>
      </c>
      <c r="H193">
        <v>2</v>
      </c>
      <c r="I193">
        <f t="shared" ref="I193:I198" si="40">LN(B193)</f>
        <v>-5.4284260518950571</v>
      </c>
      <c r="J193">
        <v>1.33</v>
      </c>
      <c r="K193" t="s">
        <v>31</v>
      </c>
      <c r="L193" t="s">
        <v>31</v>
      </c>
      <c r="M193" t="s">
        <v>31</v>
      </c>
      <c r="AB193" s="313" t="e">
        <f t="shared" si="26"/>
        <v>#VALUE!</v>
      </c>
    </row>
    <row r="194" spans="1:28">
      <c r="A194" s="88" t="s">
        <v>558</v>
      </c>
      <c r="B194">
        <v>7.0000000000000001E-3</v>
      </c>
      <c r="C194" t="s">
        <v>37</v>
      </c>
      <c r="D194" t="s">
        <v>40</v>
      </c>
      <c r="E194" s="313" t="s">
        <v>456</v>
      </c>
      <c r="F194" t="s">
        <v>59</v>
      </c>
      <c r="G194" s="24" t="s">
        <v>33</v>
      </c>
      <c r="H194">
        <v>2</v>
      </c>
      <c r="I194">
        <f t="shared" si="40"/>
        <v>-4.9618451299268234</v>
      </c>
      <c r="J194">
        <v>2.0499999999999998</v>
      </c>
      <c r="K194" t="s">
        <v>31</v>
      </c>
      <c r="L194" t="s">
        <v>31</v>
      </c>
      <c r="M194" t="s">
        <v>31</v>
      </c>
      <c r="AB194" s="313" t="e">
        <f t="shared" si="26"/>
        <v>#VALUE!</v>
      </c>
    </row>
    <row r="195" spans="1:28">
      <c r="A195" s="88" t="s">
        <v>590</v>
      </c>
      <c r="B195">
        <v>8.9300000000000004E-3</v>
      </c>
      <c r="C195" t="s">
        <v>37</v>
      </c>
      <c r="D195" t="s">
        <v>40</v>
      </c>
      <c r="E195" s="313" t="s">
        <v>456</v>
      </c>
      <c r="F195" t="s">
        <v>59</v>
      </c>
      <c r="G195" s="24" t="s">
        <v>33</v>
      </c>
      <c r="H195">
        <v>2</v>
      </c>
      <c r="I195">
        <f t="shared" si="40"/>
        <v>-4.718338884093729</v>
      </c>
      <c r="J195">
        <v>2.0499999999999998</v>
      </c>
      <c r="K195" t="s">
        <v>31</v>
      </c>
      <c r="L195" t="s">
        <v>31</v>
      </c>
      <c r="M195" t="s">
        <v>31</v>
      </c>
      <c r="AB195" s="313" t="e">
        <f t="shared" si="26"/>
        <v>#VALUE!</v>
      </c>
    </row>
    <row r="196" spans="1:28">
      <c r="A196" s="88" t="s">
        <v>585</v>
      </c>
      <c r="B196">
        <v>9.2399999999999996E-2</v>
      </c>
      <c r="C196" t="s">
        <v>37</v>
      </c>
      <c r="D196" t="s">
        <v>40</v>
      </c>
      <c r="E196" s="313" t="s">
        <v>456</v>
      </c>
      <c r="F196" t="s">
        <v>82</v>
      </c>
      <c r="G196" s="24" t="s">
        <v>33</v>
      </c>
      <c r="H196">
        <v>2</v>
      </c>
      <c r="I196">
        <f t="shared" si="40"/>
        <v>-2.3816283003344987</v>
      </c>
      <c r="J196">
        <v>2.0499999999999998</v>
      </c>
      <c r="K196" t="s">
        <v>31</v>
      </c>
      <c r="L196" t="s">
        <v>31</v>
      </c>
      <c r="M196" t="s">
        <v>31</v>
      </c>
      <c r="AB196" s="313" t="e">
        <f t="shared" si="26"/>
        <v>#VALUE!</v>
      </c>
    </row>
    <row r="197" spans="1:28">
      <c r="A197" s="88" t="s">
        <v>585</v>
      </c>
      <c r="B197">
        <v>1.15E-5</v>
      </c>
      <c r="C197" t="s">
        <v>37</v>
      </c>
      <c r="D197" t="s">
        <v>40</v>
      </c>
      <c r="E197" s="313" t="s">
        <v>456</v>
      </c>
      <c r="F197" t="s">
        <v>82</v>
      </c>
      <c r="G197" s="24" t="s">
        <v>33</v>
      </c>
      <c r="H197">
        <v>2</v>
      </c>
      <c r="I197">
        <f t="shared" si="40"/>
        <v>-11.373163522595069</v>
      </c>
      <c r="J197">
        <v>2.0499999999999998</v>
      </c>
      <c r="K197" t="s">
        <v>31</v>
      </c>
      <c r="L197" t="s">
        <v>31</v>
      </c>
      <c r="M197" t="s">
        <v>31</v>
      </c>
      <c r="N197" s="332" t="s">
        <v>591</v>
      </c>
      <c r="AB197" s="313" t="e">
        <f t="shared" si="26"/>
        <v>#VALUE!</v>
      </c>
    </row>
    <row r="198" spans="1:28">
      <c r="A198" s="88" t="s">
        <v>585</v>
      </c>
      <c r="B198">
        <v>8.1999999999999998E-4</v>
      </c>
      <c r="C198" t="s">
        <v>37</v>
      </c>
      <c r="D198" t="s">
        <v>40</v>
      </c>
      <c r="E198" s="313" t="s">
        <v>456</v>
      </c>
      <c r="F198" t="s">
        <v>82</v>
      </c>
      <c r="G198" s="24" t="s">
        <v>33</v>
      </c>
      <c r="H198">
        <v>2</v>
      </c>
      <c r="I198">
        <f t="shared" si="40"/>
        <v>-7.1062062177059753</v>
      </c>
      <c r="J198">
        <v>2.0499999999999998</v>
      </c>
      <c r="K198" t="s">
        <v>31</v>
      </c>
      <c r="L198" t="s">
        <v>31</v>
      </c>
      <c r="M198" t="s">
        <v>31</v>
      </c>
      <c r="N198" t="s">
        <v>592</v>
      </c>
      <c r="AB198" s="313" t="e">
        <f t="shared" si="26"/>
        <v>#VALUE!</v>
      </c>
    </row>
    <row r="199" spans="1:28" s="70" customFormat="1">
      <c r="A199" s="309" t="s">
        <v>5</v>
      </c>
      <c r="B199" s="123" t="str">
        <f>A209</f>
        <v>Production of Gas diffusion layer (GDL) and Micro porous layer (MPL)</v>
      </c>
      <c r="C199" s="69"/>
      <c r="AB199" s="313">
        <f t="shared" si="26"/>
        <v>0</v>
      </c>
    </row>
    <row r="200" spans="1:28">
      <c r="A200" s="71" t="s">
        <v>7</v>
      </c>
      <c r="B200" t="s">
        <v>456</v>
      </c>
      <c r="C200" s="72"/>
      <c r="AB200" s="313">
        <f t="shared" si="26"/>
        <v>0</v>
      </c>
    </row>
    <row r="201" spans="1:28">
      <c r="A201" s="71" t="s">
        <v>9</v>
      </c>
      <c r="B201" s="310" t="s">
        <v>593</v>
      </c>
      <c r="C201" s="72"/>
      <c r="AB201" s="313">
        <f t="shared" si="26"/>
        <v>0</v>
      </c>
    </row>
    <row r="202" spans="1:28" ht="50.25" customHeight="1">
      <c r="A202" s="71" t="s">
        <v>11</v>
      </c>
      <c r="B202" s="320" t="s">
        <v>594</v>
      </c>
      <c r="AB202" s="313">
        <f t="shared" si="26"/>
        <v>0</v>
      </c>
    </row>
    <row r="203" spans="1:28">
      <c r="A203" s="71" t="s">
        <v>13</v>
      </c>
      <c r="B203" t="s">
        <v>59</v>
      </c>
      <c r="AB203" s="313">
        <f t="shared" si="26"/>
        <v>0</v>
      </c>
    </row>
    <row r="204" spans="1:28">
      <c r="A204" s="71" t="s">
        <v>15</v>
      </c>
      <c r="B204">
        <f>B209</f>
        <v>1</v>
      </c>
      <c r="AB204" s="313">
        <f t="shared" si="26"/>
        <v>0</v>
      </c>
    </row>
    <row r="205" spans="1:28">
      <c r="A205" s="71" t="s">
        <v>16</v>
      </c>
      <c r="B205" t="s">
        <v>17</v>
      </c>
      <c r="AB205" s="313">
        <f t="shared" ref="AB205:AB268" si="41">M205-L205</f>
        <v>0</v>
      </c>
    </row>
    <row r="206" spans="1:28">
      <c r="A206" s="71" t="s">
        <v>18</v>
      </c>
      <c r="B206" t="str">
        <f>C209</f>
        <v>unit</v>
      </c>
      <c r="AB206" s="313">
        <f t="shared" si="41"/>
        <v>0</v>
      </c>
    </row>
    <row r="207" spans="1:28">
      <c r="A207" s="311" t="s">
        <v>19</v>
      </c>
      <c r="AB207" s="313">
        <f t="shared" si="41"/>
        <v>0</v>
      </c>
    </row>
    <row r="208" spans="1:28">
      <c r="A208" s="311" t="s">
        <v>20</v>
      </c>
      <c r="B208" s="131" t="s">
        <v>21</v>
      </c>
      <c r="C208" s="131" t="s">
        <v>18</v>
      </c>
      <c r="D208" s="131" t="s">
        <v>22</v>
      </c>
      <c r="E208" s="131" t="s">
        <v>7</v>
      </c>
      <c r="F208" s="131" t="s">
        <v>13</v>
      </c>
      <c r="G208" s="131" t="s">
        <v>16</v>
      </c>
      <c r="H208" s="131" t="s">
        <v>23</v>
      </c>
      <c r="I208" s="131" t="s">
        <v>24</v>
      </c>
      <c r="J208" s="131" t="s">
        <v>25</v>
      </c>
      <c r="K208" s="131" t="s">
        <v>26</v>
      </c>
      <c r="L208" s="131" t="s">
        <v>27</v>
      </c>
      <c r="M208" s="131" t="s">
        <v>28</v>
      </c>
      <c r="AB208" s="313" t="e">
        <f t="shared" si="41"/>
        <v>#VALUE!</v>
      </c>
    </row>
    <row r="209" spans="1:28" s="313" customFormat="1">
      <c r="A209" s="312" t="str">
        <f>A78</f>
        <v>Production of Gas diffusion layer (GDL) and Micro porous layer (MPL)</v>
      </c>
      <c r="B209" s="313">
        <v>1</v>
      </c>
      <c r="C209" t="s">
        <v>18</v>
      </c>
      <c r="D209" s="313" t="s">
        <v>2</v>
      </c>
      <c r="E209" s="313" t="s">
        <v>456</v>
      </c>
      <c r="F209" s="313" t="s">
        <v>59</v>
      </c>
      <c r="G209" s="313" t="s">
        <v>30</v>
      </c>
      <c r="H209" s="313">
        <v>1</v>
      </c>
      <c r="I209" s="313">
        <v>1</v>
      </c>
      <c r="J209" s="313" t="s">
        <v>31</v>
      </c>
      <c r="K209" s="313" t="s">
        <v>31</v>
      </c>
      <c r="L209" s="313" t="s">
        <v>31</v>
      </c>
      <c r="M209" s="313" t="s">
        <v>31</v>
      </c>
      <c r="O209" s="314" t="s">
        <v>464</v>
      </c>
      <c r="P209" s="315" t="s">
        <v>465</v>
      </c>
      <c r="Q209" s="315" t="s">
        <v>21</v>
      </c>
      <c r="R209" s="316" t="s">
        <v>466</v>
      </c>
      <c r="T209" s="315" t="s">
        <v>467</v>
      </c>
      <c r="W209" s="313" t="s">
        <v>535</v>
      </c>
      <c r="AB209" s="313" t="e">
        <f t="shared" si="41"/>
        <v>#VALUE!</v>
      </c>
    </row>
    <row r="210" spans="1:28">
      <c r="A210" t="s">
        <v>595</v>
      </c>
      <c r="B210">
        <f>R210</f>
        <v>2.7777777777777779E-3</v>
      </c>
      <c r="C210" t="s">
        <v>37</v>
      </c>
      <c r="D210" t="s">
        <v>40</v>
      </c>
      <c r="E210" t="s">
        <v>456</v>
      </c>
      <c r="F210" t="s">
        <v>59</v>
      </c>
      <c r="G210" t="s">
        <v>33</v>
      </c>
      <c r="H210">
        <v>0</v>
      </c>
      <c r="I210">
        <f>B210</f>
        <v>2.7777777777777779E-3</v>
      </c>
      <c r="J210" s="313" t="s">
        <v>31</v>
      </c>
      <c r="K210" s="313" t="s">
        <v>31</v>
      </c>
      <c r="L210" s="313" t="s">
        <v>31</v>
      </c>
      <c r="M210" s="313" t="s">
        <v>31</v>
      </c>
      <c r="O210">
        <v>1</v>
      </c>
      <c r="P210">
        <v>0.9</v>
      </c>
      <c r="Q210">
        <v>2.5000000000000001E-3</v>
      </c>
      <c r="R210" s="318">
        <f>(Q210/P210)*O210</f>
        <v>2.7777777777777779E-3</v>
      </c>
      <c r="AB210" s="313" t="e">
        <f t="shared" si="41"/>
        <v>#VALUE!</v>
      </c>
    </row>
    <row r="211" spans="1:28">
      <c r="A211" t="s">
        <v>595</v>
      </c>
      <c r="B211">
        <f t="shared" ref="B211" si="42">R211</f>
        <v>2.0175438596491227E-4</v>
      </c>
      <c r="C211" t="s">
        <v>37</v>
      </c>
      <c r="D211" t="s">
        <v>40</v>
      </c>
      <c r="E211" t="s">
        <v>456</v>
      </c>
      <c r="F211" t="s">
        <v>59</v>
      </c>
      <c r="G211" t="s">
        <v>33</v>
      </c>
      <c r="H211">
        <v>0</v>
      </c>
      <c r="I211">
        <f t="shared" ref="I211:I212" si="43">B211</f>
        <v>2.0175438596491227E-4</v>
      </c>
      <c r="J211" s="313" t="s">
        <v>31</v>
      </c>
      <c r="K211" s="313" t="s">
        <v>31</v>
      </c>
      <c r="L211" s="313" t="s">
        <v>31</v>
      </c>
      <c r="M211" s="313" t="s">
        <v>31</v>
      </c>
      <c r="N211" t="s">
        <v>596</v>
      </c>
      <c r="O211">
        <f>2/3</f>
        <v>0.66666666666666663</v>
      </c>
      <c r="P211">
        <v>0.95</v>
      </c>
      <c r="Q211">
        <v>2.875E-4</v>
      </c>
      <c r="R211" s="318">
        <f t="shared" ref="R211" si="44">(Q211/P211)*O211</f>
        <v>2.0175438596491227E-4</v>
      </c>
      <c r="AB211" s="313" t="e">
        <f t="shared" si="41"/>
        <v>#VALUE!</v>
      </c>
    </row>
    <row r="212" spans="1:28">
      <c r="A212" t="str">
        <f>A187</f>
        <v>Production of Polytetrafluoroethylene, PTFE reinforcement</v>
      </c>
      <c r="B212">
        <f>R212/1.15</f>
        <v>2.3493516399694889E-4</v>
      </c>
      <c r="C212" t="s">
        <v>18</v>
      </c>
      <c r="D212" s="313" t="s">
        <v>2</v>
      </c>
      <c r="E212" s="313" t="s">
        <v>456</v>
      </c>
      <c r="F212" t="s">
        <v>59</v>
      </c>
      <c r="G212" t="s">
        <v>33</v>
      </c>
      <c r="H212">
        <v>0</v>
      </c>
      <c r="I212">
        <f t="shared" si="43"/>
        <v>2.3493516399694889E-4</v>
      </c>
      <c r="J212" s="313" t="s">
        <v>31</v>
      </c>
      <c r="K212" s="313" t="s">
        <v>31</v>
      </c>
      <c r="L212" s="313" t="s">
        <v>31</v>
      </c>
      <c r="M212" s="313" t="s">
        <v>31</v>
      </c>
      <c r="O212">
        <f>2/3</f>
        <v>0.66666666666666663</v>
      </c>
      <c r="P212">
        <v>9.5000000000000001E-2</v>
      </c>
      <c r="Q212">
        <v>3.8500000000000001E-5</v>
      </c>
      <c r="R212" s="318">
        <f>(Q212/P212)*O212</f>
        <v>2.7017543859649121E-4</v>
      </c>
      <c r="AB212" s="313" t="e">
        <f t="shared" si="41"/>
        <v>#VALUE!</v>
      </c>
    </row>
    <row r="213" spans="1:28" s="70" customFormat="1">
      <c r="A213" s="309" t="s">
        <v>5</v>
      </c>
      <c r="B213" s="123" t="str">
        <f>A223</f>
        <v>Production of Subgasket</v>
      </c>
      <c r="C213" s="69"/>
      <c r="AB213" s="313">
        <f t="shared" si="41"/>
        <v>0</v>
      </c>
    </row>
    <row r="214" spans="1:28">
      <c r="A214" s="71" t="s">
        <v>7</v>
      </c>
      <c r="B214" t="s">
        <v>456</v>
      </c>
      <c r="C214" s="72"/>
      <c r="AB214" s="313">
        <f t="shared" si="41"/>
        <v>0</v>
      </c>
    </row>
    <row r="215" spans="1:28">
      <c r="A215" s="71" t="s">
        <v>9</v>
      </c>
      <c r="B215" s="310" t="s">
        <v>597</v>
      </c>
      <c r="C215" s="72"/>
      <c r="AB215" s="313">
        <f t="shared" si="41"/>
        <v>0</v>
      </c>
    </row>
    <row r="216" spans="1:28" ht="50.25" customHeight="1">
      <c r="A216" s="71" t="s">
        <v>11</v>
      </c>
      <c r="B216" s="320" t="s">
        <v>598</v>
      </c>
      <c r="AB216" s="313">
        <f t="shared" si="41"/>
        <v>0</v>
      </c>
    </row>
    <row r="217" spans="1:28">
      <c r="A217" s="71" t="s">
        <v>13</v>
      </c>
      <c r="B217" t="s">
        <v>59</v>
      </c>
      <c r="AB217" s="313">
        <f t="shared" si="41"/>
        <v>0</v>
      </c>
    </row>
    <row r="218" spans="1:28">
      <c r="A218" s="71" t="s">
        <v>15</v>
      </c>
      <c r="B218">
        <f>B223</f>
        <v>1</v>
      </c>
      <c r="AB218" s="313">
        <f t="shared" si="41"/>
        <v>0</v>
      </c>
    </row>
    <row r="219" spans="1:28">
      <c r="A219" s="71" t="s">
        <v>16</v>
      </c>
      <c r="B219" t="s">
        <v>17</v>
      </c>
      <c r="AB219" s="313">
        <f t="shared" si="41"/>
        <v>0</v>
      </c>
    </row>
    <row r="220" spans="1:28">
      <c r="A220" s="71" t="s">
        <v>18</v>
      </c>
      <c r="B220" t="str">
        <f>C223</f>
        <v>unit</v>
      </c>
      <c r="AB220" s="313">
        <f t="shared" si="41"/>
        <v>0</v>
      </c>
    </row>
    <row r="221" spans="1:28">
      <c r="A221" s="311" t="s">
        <v>19</v>
      </c>
      <c r="AB221" s="313">
        <f t="shared" si="41"/>
        <v>0</v>
      </c>
    </row>
    <row r="222" spans="1:28">
      <c r="A222" s="311" t="s">
        <v>20</v>
      </c>
      <c r="B222" s="131" t="s">
        <v>21</v>
      </c>
      <c r="C222" s="131" t="s">
        <v>18</v>
      </c>
      <c r="D222" s="131" t="s">
        <v>22</v>
      </c>
      <c r="E222" s="131" t="s">
        <v>7</v>
      </c>
      <c r="F222" s="131" t="s">
        <v>13</v>
      </c>
      <c r="G222" s="131" t="s">
        <v>16</v>
      </c>
      <c r="H222" s="131" t="s">
        <v>23</v>
      </c>
      <c r="I222" s="131" t="s">
        <v>24</v>
      </c>
      <c r="J222" s="131" t="s">
        <v>25</v>
      </c>
      <c r="K222" s="131" t="s">
        <v>26</v>
      </c>
      <c r="L222" s="131" t="s">
        <v>27</v>
      </c>
      <c r="M222" s="131" t="s">
        <v>28</v>
      </c>
      <c r="AB222" s="313" t="e">
        <f t="shared" si="41"/>
        <v>#VALUE!</v>
      </c>
    </row>
    <row r="223" spans="1:28" s="313" customFormat="1">
      <c r="A223" s="312" t="str">
        <f>A79</f>
        <v>Production of Subgasket</v>
      </c>
      <c r="B223" s="313">
        <v>1</v>
      </c>
      <c r="C223" t="s">
        <v>18</v>
      </c>
      <c r="D223" s="313" t="s">
        <v>2</v>
      </c>
      <c r="E223" s="313" t="s">
        <v>456</v>
      </c>
      <c r="F223" s="313" t="s">
        <v>59</v>
      </c>
      <c r="G223" s="313" t="s">
        <v>30</v>
      </c>
      <c r="H223" s="313">
        <v>1</v>
      </c>
      <c r="I223" s="313">
        <v>1</v>
      </c>
      <c r="J223" s="313" t="s">
        <v>31</v>
      </c>
      <c r="K223" s="313" t="s">
        <v>31</v>
      </c>
      <c r="L223" s="313" t="s">
        <v>31</v>
      </c>
      <c r="M223" s="313" t="s">
        <v>31</v>
      </c>
      <c r="O223" s="314" t="s">
        <v>464</v>
      </c>
      <c r="P223" s="315" t="s">
        <v>465</v>
      </c>
      <c r="Q223" s="315" t="s">
        <v>21</v>
      </c>
      <c r="R223" s="316" t="s">
        <v>466</v>
      </c>
      <c r="T223" s="315" t="s">
        <v>467</v>
      </c>
      <c r="W223" s="313" t="s">
        <v>535</v>
      </c>
      <c r="AB223" s="313" t="e">
        <f t="shared" si="41"/>
        <v>#VALUE!</v>
      </c>
    </row>
    <row r="224" spans="1:28">
      <c r="A224" s="88" t="s">
        <v>599</v>
      </c>
      <c r="B224">
        <f>R224</f>
        <v>5.4999999999999997E-3</v>
      </c>
      <c r="C224" t="s">
        <v>37</v>
      </c>
      <c r="D224" t="s">
        <v>40</v>
      </c>
      <c r="E224" t="s">
        <v>456</v>
      </c>
      <c r="F224" t="s">
        <v>59</v>
      </c>
      <c r="G224" t="s">
        <v>33</v>
      </c>
      <c r="H224">
        <v>5</v>
      </c>
      <c r="I224">
        <f>B224</f>
        <v>5.4999999999999997E-3</v>
      </c>
      <c r="J224" s="313" t="s">
        <v>31</v>
      </c>
      <c r="K224" s="313" t="s">
        <v>31</v>
      </c>
      <c r="L224">
        <f>0.8*B224</f>
        <v>4.4000000000000003E-3</v>
      </c>
      <c r="M224">
        <f>1.2*B224</f>
        <v>6.5999999999999991E-3</v>
      </c>
      <c r="N224" t="s">
        <v>600</v>
      </c>
      <c r="O224">
        <v>1</v>
      </c>
      <c r="P224">
        <v>0.5</v>
      </c>
      <c r="Q224">
        <f>0.001*W224</f>
        <v>2.7499999999999998E-3</v>
      </c>
      <c r="R224" s="318">
        <f t="shared" ref="R224" si="45">(Q224/P224)*O224</f>
        <v>5.4999999999999997E-3</v>
      </c>
      <c r="T224" t="s">
        <v>601</v>
      </c>
      <c r="W224">
        <v>2.75</v>
      </c>
      <c r="X224" t="s">
        <v>580</v>
      </c>
      <c r="AB224" s="313">
        <f t="shared" si="41"/>
        <v>2.1999999999999988E-3</v>
      </c>
    </row>
    <row r="225" spans="1:28" s="70" customFormat="1">
      <c r="A225" s="309" t="s">
        <v>5</v>
      </c>
      <c r="B225" s="123" t="str">
        <f>A235</f>
        <v>Production of planar Interconnect / Bipolar plates (BPP)</v>
      </c>
      <c r="C225" s="69"/>
      <c r="AB225" s="313">
        <f t="shared" si="41"/>
        <v>0</v>
      </c>
    </row>
    <row r="226" spans="1:28">
      <c r="A226" s="71" t="s">
        <v>7</v>
      </c>
      <c r="B226" t="s">
        <v>456</v>
      </c>
      <c r="C226" s="72"/>
      <c r="AB226" s="313">
        <f t="shared" si="41"/>
        <v>0</v>
      </c>
    </row>
    <row r="227" spans="1:28">
      <c r="A227" s="71" t="s">
        <v>9</v>
      </c>
      <c r="B227" s="310" t="s">
        <v>602</v>
      </c>
      <c r="C227" s="72"/>
      <c r="AB227" s="313">
        <f t="shared" si="41"/>
        <v>0</v>
      </c>
    </row>
    <row r="228" spans="1:28" ht="50.25" customHeight="1">
      <c r="A228" s="71" t="s">
        <v>11</v>
      </c>
      <c r="B228" s="320" t="s">
        <v>603</v>
      </c>
      <c r="AB228" s="313">
        <f t="shared" si="41"/>
        <v>0</v>
      </c>
    </row>
    <row r="229" spans="1:28">
      <c r="A229" s="71" t="s">
        <v>13</v>
      </c>
      <c r="B229" t="s">
        <v>14</v>
      </c>
      <c r="AB229" s="313">
        <f t="shared" si="41"/>
        <v>0</v>
      </c>
    </row>
    <row r="230" spans="1:28">
      <c r="A230" s="71" t="s">
        <v>15</v>
      </c>
      <c r="B230">
        <f>B235</f>
        <v>1</v>
      </c>
      <c r="AB230" s="313">
        <f t="shared" si="41"/>
        <v>0</v>
      </c>
    </row>
    <row r="231" spans="1:28">
      <c r="A231" s="71" t="s">
        <v>16</v>
      </c>
      <c r="B231" t="s">
        <v>17</v>
      </c>
      <c r="AB231" s="313">
        <f t="shared" si="41"/>
        <v>0</v>
      </c>
    </row>
    <row r="232" spans="1:28">
      <c r="A232" s="71" t="s">
        <v>18</v>
      </c>
      <c r="B232" t="str">
        <f>C235</f>
        <v>unit</v>
      </c>
      <c r="AB232" s="313">
        <f t="shared" si="41"/>
        <v>0</v>
      </c>
    </row>
    <row r="233" spans="1:28">
      <c r="A233" s="311" t="s">
        <v>19</v>
      </c>
      <c r="AB233" s="313">
        <f t="shared" si="41"/>
        <v>0</v>
      </c>
    </row>
    <row r="234" spans="1:28">
      <c r="A234" s="311" t="s">
        <v>20</v>
      </c>
      <c r="B234" s="131" t="s">
        <v>21</v>
      </c>
      <c r="C234" s="131" t="s">
        <v>18</v>
      </c>
      <c r="D234" s="131" t="s">
        <v>22</v>
      </c>
      <c r="E234" s="131" t="s">
        <v>7</v>
      </c>
      <c r="F234" s="131" t="s">
        <v>13</v>
      </c>
      <c r="G234" s="131" t="s">
        <v>16</v>
      </c>
      <c r="H234" s="131" t="s">
        <v>23</v>
      </c>
      <c r="I234" s="131" t="s">
        <v>24</v>
      </c>
      <c r="J234" s="131" t="s">
        <v>25</v>
      </c>
      <c r="K234" s="131" t="s">
        <v>26</v>
      </c>
      <c r="L234" s="131" t="s">
        <v>27</v>
      </c>
      <c r="M234" s="131" t="s">
        <v>28</v>
      </c>
      <c r="AB234" s="313" t="e">
        <f t="shared" si="41"/>
        <v>#VALUE!</v>
      </c>
    </row>
    <row r="235" spans="1:28" s="313" customFormat="1">
      <c r="A235" s="312" t="str">
        <f>A52</f>
        <v>Production of planar Interconnect / Bipolar plates (BPP)</v>
      </c>
      <c r="B235" s="313">
        <v>1</v>
      </c>
      <c r="C235" t="s">
        <v>18</v>
      </c>
      <c r="D235" s="313" t="s">
        <v>2</v>
      </c>
      <c r="E235" s="313" t="s">
        <v>456</v>
      </c>
      <c r="F235" s="313" t="s">
        <v>14</v>
      </c>
      <c r="G235" s="313" t="s">
        <v>30</v>
      </c>
      <c r="H235" s="313">
        <v>1</v>
      </c>
      <c r="I235" s="313">
        <v>1</v>
      </c>
      <c r="J235" s="313" t="s">
        <v>31</v>
      </c>
      <c r="K235" s="313" t="s">
        <v>31</v>
      </c>
      <c r="L235" s="313" t="s">
        <v>31</v>
      </c>
      <c r="M235" s="313" t="s">
        <v>31</v>
      </c>
      <c r="O235" s="314" t="s">
        <v>464</v>
      </c>
      <c r="P235" s="315" t="s">
        <v>465</v>
      </c>
      <c r="Q235" s="315" t="s">
        <v>21</v>
      </c>
      <c r="R235" s="316" t="s">
        <v>466</v>
      </c>
      <c r="T235" s="315" t="s">
        <v>467</v>
      </c>
      <c r="W235" s="313" t="s">
        <v>535</v>
      </c>
      <c r="AB235" s="313" t="e">
        <f t="shared" si="41"/>
        <v>#VALUE!</v>
      </c>
    </row>
    <row r="236" spans="1:28">
      <c r="A236" s="88" t="s">
        <v>604</v>
      </c>
      <c r="B236">
        <f>R236</f>
        <v>6.239999999999999E-2</v>
      </c>
      <c r="C236" t="s">
        <v>37</v>
      </c>
      <c r="D236" t="s">
        <v>40</v>
      </c>
      <c r="E236" t="s">
        <v>456</v>
      </c>
      <c r="F236" t="s">
        <v>59</v>
      </c>
      <c r="G236" t="s">
        <v>33</v>
      </c>
      <c r="H236">
        <v>5</v>
      </c>
      <c r="I236">
        <f>B236</f>
        <v>6.239999999999999E-2</v>
      </c>
      <c r="J236" s="313" t="s">
        <v>31</v>
      </c>
      <c r="K236" s="313" t="s">
        <v>31</v>
      </c>
      <c r="L236">
        <f>0.8*B236</f>
        <v>4.9919999999999992E-2</v>
      </c>
      <c r="M236">
        <f>1.2*B236</f>
        <v>7.4879999999999988E-2</v>
      </c>
      <c r="O236">
        <v>1</v>
      </c>
      <c r="P236">
        <v>0.9</v>
      </c>
      <c r="Q236">
        <f>Y236</f>
        <v>5.6159999999999995E-2</v>
      </c>
      <c r="R236" s="318">
        <f t="shared" ref="R236:R240" si="46">(Q236/P236)*O236</f>
        <v>6.239999999999999E-2</v>
      </c>
      <c r="T236" s="333" t="s">
        <v>605</v>
      </c>
      <c r="W236" s="333">
        <v>56.16</v>
      </c>
      <c r="X236" s="334" t="s">
        <v>580</v>
      </c>
      <c r="Y236">
        <f>0.001*W236</f>
        <v>5.6159999999999995E-2</v>
      </c>
      <c r="Z236" t="s">
        <v>241</v>
      </c>
      <c r="AB236" s="313">
        <f t="shared" si="41"/>
        <v>2.4959999999999996E-2</v>
      </c>
    </row>
    <row r="237" spans="1:28">
      <c r="A237" s="88" t="s">
        <v>388</v>
      </c>
      <c r="B237">
        <f t="shared" ref="B237:B240" si="47">R237</f>
        <v>6.239999999999999E-2</v>
      </c>
      <c r="C237" t="s">
        <v>37</v>
      </c>
      <c r="D237" t="s">
        <v>40</v>
      </c>
      <c r="E237" t="s">
        <v>456</v>
      </c>
      <c r="F237" t="s">
        <v>59</v>
      </c>
      <c r="G237" t="s">
        <v>33</v>
      </c>
      <c r="H237">
        <v>5</v>
      </c>
      <c r="I237">
        <f t="shared" ref="I237:I239" si="48">B237</f>
        <v>6.239999999999999E-2</v>
      </c>
      <c r="J237" s="313" t="s">
        <v>31</v>
      </c>
      <c r="K237" s="313" t="s">
        <v>31</v>
      </c>
      <c r="L237">
        <f>0.8*B237</f>
        <v>4.9919999999999992E-2</v>
      </c>
      <c r="M237">
        <f>1.2*B237</f>
        <v>7.4879999999999988E-2</v>
      </c>
      <c r="O237">
        <v>1</v>
      </c>
      <c r="P237">
        <v>0.9</v>
      </c>
      <c r="Q237">
        <f t="shared" ref="Q237:Q239" si="49">Y237</f>
        <v>5.6159999999999995E-2</v>
      </c>
      <c r="R237" s="318">
        <f t="shared" si="46"/>
        <v>6.239999999999999E-2</v>
      </c>
      <c r="T237" s="333" t="s">
        <v>605</v>
      </c>
      <c r="W237" s="333">
        <v>56.16</v>
      </c>
      <c r="X237" s="334" t="s">
        <v>580</v>
      </c>
      <c r="Y237">
        <f t="shared" ref="Y237:Y239" si="50">0.001*W237</f>
        <v>5.6159999999999995E-2</v>
      </c>
      <c r="Z237" t="s">
        <v>241</v>
      </c>
      <c r="AB237" s="313">
        <f t="shared" si="41"/>
        <v>2.4959999999999996E-2</v>
      </c>
    </row>
    <row r="238" spans="1:28">
      <c r="A238" s="335" t="s">
        <v>179</v>
      </c>
      <c r="B238">
        <f t="shared" si="47"/>
        <v>3.4874074074074078E-3</v>
      </c>
      <c r="C238" t="s">
        <v>37</v>
      </c>
      <c r="D238" t="s">
        <v>40</v>
      </c>
      <c r="E238" t="s">
        <v>456</v>
      </c>
      <c r="F238" t="s">
        <v>82</v>
      </c>
      <c r="G238" t="s">
        <v>33</v>
      </c>
      <c r="H238">
        <v>5</v>
      </c>
      <c r="I238">
        <f t="shared" si="48"/>
        <v>3.4874074074074078E-3</v>
      </c>
      <c r="J238" s="313" t="s">
        <v>31</v>
      </c>
      <c r="K238" s="313" t="s">
        <v>31</v>
      </c>
      <c r="L238">
        <f>0.7*B238</f>
        <v>2.4411851851851851E-3</v>
      </c>
      <c r="M238">
        <f>1.3*B238</f>
        <v>4.5336296296296305E-3</v>
      </c>
      <c r="O238">
        <f>20/15</f>
        <v>1.3333333333333333</v>
      </c>
      <c r="P238">
        <v>0.9</v>
      </c>
      <c r="Q238">
        <f t="shared" si="49"/>
        <v>2.3540000000000002E-3</v>
      </c>
      <c r="R238" s="318">
        <f t="shared" si="46"/>
        <v>3.4874074074074078E-3</v>
      </c>
      <c r="T238" s="333" t="s">
        <v>606</v>
      </c>
      <c r="W238" s="333">
        <v>2.3540000000000001</v>
      </c>
      <c r="X238" s="334" t="s">
        <v>580</v>
      </c>
      <c r="Y238">
        <f t="shared" si="50"/>
        <v>2.3540000000000002E-3</v>
      </c>
      <c r="Z238" t="s">
        <v>241</v>
      </c>
      <c r="AB238" s="313">
        <f t="shared" si="41"/>
        <v>2.0924444444444454E-3</v>
      </c>
    </row>
    <row r="239" spans="1:28">
      <c r="A239" s="88" t="s">
        <v>536</v>
      </c>
      <c r="B239">
        <f t="shared" si="47"/>
        <v>1.1111111111111112E-5</v>
      </c>
      <c r="C239" t="s">
        <v>37</v>
      </c>
      <c r="D239" t="s">
        <v>40</v>
      </c>
      <c r="E239" t="s">
        <v>456</v>
      </c>
      <c r="F239" t="s">
        <v>59</v>
      </c>
      <c r="G239" t="s">
        <v>33</v>
      </c>
      <c r="H239">
        <v>5</v>
      </c>
      <c r="I239">
        <f t="shared" si="48"/>
        <v>1.1111111111111112E-5</v>
      </c>
      <c r="J239" s="313" t="s">
        <v>31</v>
      </c>
      <c r="K239" s="313" t="s">
        <v>31</v>
      </c>
      <c r="L239">
        <f>0</f>
        <v>0</v>
      </c>
      <c r="M239">
        <f>2*B239</f>
        <v>2.2222222222222223E-5</v>
      </c>
      <c r="O239">
        <v>1</v>
      </c>
      <c r="P239">
        <v>0.9</v>
      </c>
      <c r="Q239">
        <f t="shared" si="49"/>
        <v>1.0000000000000001E-5</v>
      </c>
      <c r="R239" s="318">
        <f t="shared" si="46"/>
        <v>1.1111111111111112E-5</v>
      </c>
      <c r="T239" s="333" t="s">
        <v>607</v>
      </c>
      <c r="W239" s="333">
        <v>0.01</v>
      </c>
      <c r="X239" s="334" t="s">
        <v>580</v>
      </c>
      <c r="Y239">
        <f t="shared" si="50"/>
        <v>1.0000000000000001E-5</v>
      </c>
      <c r="Z239" t="s">
        <v>241</v>
      </c>
      <c r="AB239" s="313">
        <f t="shared" si="41"/>
        <v>2.2222222222222223E-5</v>
      </c>
    </row>
    <row r="240" spans="1:28">
      <c r="A240" s="88" t="s">
        <v>608</v>
      </c>
      <c r="B240">
        <f t="shared" si="47"/>
        <v>0.03</v>
      </c>
      <c r="C240" t="s">
        <v>609</v>
      </c>
      <c r="D240" t="s">
        <v>40</v>
      </c>
      <c r="E240" t="s">
        <v>456</v>
      </c>
      <c r="F240" t="s">
        <v>82</v>
      </c>
      <c r="G240" t="s">
        <v>33</v>
      </c>
      <c r="H240">
        <v>0</v>
      </c>
      <c r="I240">
        <f>B240</f>
        <v>0.03</v>
      </c>
      <c r="J240" s="313" t="s">
        <v>31</v>
      </c>
      <c r="K240" s="313" t="s">
        <v>31</v>
      </c>
      <c r="L240" s="313" t="s">
        <v>31</v>
      </c>
      <c r="M240" s="313" t="s">
        <v>31</v>
      </c>
      <c r="O240">
        <v>1</v>
      </c>
      <c r="P240">
        <v>1</v>
      </c>
      <c r="Q240">
        <v>0.03</v>
      </c>
      <c r="R240" s="318">
        <f t="shared" si="46"/>
        <v>0.03</v>
      </c>
      <c r="W240" s="333">
        <v>3.5999999999999997E-2</v>
      </c>
      <c r="X240" s="334" t="s">
        <v>610</v>
      </c>
      <c r="AB240" s="313" t="e">
        <f t="shared" si="41"/>
        <v>#VALUE!</v>
      </c>
    </row>
    <row r="241" spans="1:28" s="70" customFormat="1">
      <c r="A241" s="309" t="s">
        <v>5</v>
      </c>
      <c r="B241" s="123" t="str">
        <f>A251</f>
        <v>Production of Casing/end plates</v>
      </c>
      <c r="C241" s="69"/>
      <c r="AB241" s="313">
        <f t="shared" si="41"/>
        <v>0</v>
      </c>
    </row>
    <row r="242" spans="1:28">
      <c r="A242" s="71" t="s">
        <v>7</v>
      </c>
      <c r="B242" t="s">
        <v>456</v>
      </c>
      <c r="C242" s="72"/>
      <c r="AB242" s="313">
        <f t="shared" si="41"/>
        <v>0</v>
      </c>
    </row>
    <row r="243" spans="1:28">
      <c r="A243" s="71" t="s">
        <v>9</v>
      </c>
      <c r="B243" s="310" t="s">
        <v>611</v>
      </c>
      <c r="C243" s="72"/>
      <c r="AB243" s="313">
        <f t="shared" si="41"/>
        <v>0</v>
      </c>
    </row>
    <row r="244" spans="1:28" ht="50.25" customHeight="1">
      <c r="A244" s="71" t="s">
        <v>11</v>
      </c>
      <c r="B244" s="320" t="s">
        <v>612</v>
      </c>
      <c r="AB244" s="313">
        <f t="shared" si="41"/>
        <v>0</v>
      </c>
    </row>
    <row r="245" spans="1:28">
      <c r="A245" s="71" t="s">
        <v>13</v>
      </c>
      <c r="B245" t="s">
        <v>14</v>
      </c>
      <c r="AB245" s="313">
        <f t="shared" si="41"/>
        <v>0</v>
      </c>
    </row>
    <row r="246" spans="1:28">
      <c r="A246" s="71" t="s">
        <v>15</v>
      </c>
      <c r="B246">
        <f>B251</f>
        <v>1</v>
      </c>
      <c r="AB246" s="313">
        <f t="shared" si="41"/>
        <v>0</v>
      </c>
    </row>
    <row r="247" spans="1:28">
      <c r="A247" s="71" t="s">
        <v>16</v>
      </c>
      <c r="B247" t="s">
        <v>17</v>
      </c>
      <c r="AB247" s="313">
        <f t="shared" si="41"/>
        <v>0</v>
      </c>
    </row>
    <row r="248" spans="1:28">
      <c r="A248" s="71" t="s">
        <v>18</v>
      </c>
      <c r="B248" t="str">
        <f>C251</f>
        <v>unit</v>
      </c>
      <c r="AB248" s="313">
        <f t="shared" si="41"/>
        <v>0</v>
      </c>
    </row>
    <row r="249" spans="1:28">
      <c r="A249" s="311" t="s">
        <v>19</v>
      </c>
      <c r="AB249" s="313">
        <f t="shared" si="41"/>
        <v>0</v>
      </c>
    </row>
    <row r="250" spans="1:28">
      <c r="A250" s="311" t="s">
        <v>20</v>
      </c>
      <c r="B250" s="131" t="s">
        <v>21</v>
      </c>
      <c r="C250" s="131" t="s">
        <v>18</v>
      </c>
      <c r="D250" s="131" t="s">
        <v>22</v>
      </c>
      <c r="E250" s="131" t="s">
        <v>7</v>
      </c>
      <c r="F250" s="131" t="s">
        <v>13</v>
      </c>
      <c r="G250" s="131" t="s">
        <v>16</v>
      </c>
      <c r="H250" s="131" t="s">
        <v>23</v>
      </c>
      <c r="I250" s="336" t="s">
        <v>24</v>
      </c>
      <c r="J250" s="336" t="s">
        <v>25</v>
      </c>
      <c r="K250" s="336" t="s">
        <v>26</v>
      </c>
      <c r="L250" s="336" t="s">
        <v>27</v>
      </c>
      <c r="M250" s="336" t="s">
        <v>28</v>
      </c>
      <c r="AB250" s="313" t="e">
        <f t="shared" si="41"/>
        <v>#VALUE!</v>
      </c>
    </row>
    <row r="251" spans="1:28" s="313" customFormat="1">
      <c r="A251" s="312" t="str">
        <f>A53</f>
        <v>Production of Casing/end plates</v>
      </c>
      <c r="B251" s="313">
        <v>1</v>
      </c>
      <c r="C251" t="s">
        <v>18</v>
      </c>
      <c r="D251" s="313" t="s">
        <v>2</v>
      </c>
      <c r="E251" s="313" t="s">
        <v>456</v>
      </c>
      <c r="F251" s="313" t="s">
        <v>14</v>
      </c>
      <c r="G251" s="313" t="s">
        <v>30</v>
      </c>
      <c r="H251" s="313">
        <v>1</v>
      </c>
      <c r="I251" s="313">
        <v>1</v>
      </c>
      <c r="J251" s="313" t="s">
        <v>31</v>
      </c>
      <c r="K251" s="313" t="s">
        <v>31</v>
      </c>
      <c r="L251" s="313" t="s">
        <v>31</v>
      </c>
      <c r="M251" s="313" t="s">
        <v>31</v>
      </c>
      <c r="O251" s="314" t="s">
        <v>464</v>
      </c>
      <c r="P251" s="315" t="s">
        <v>465</v>
      </c>
      <c r="Q251" s="315" t="s">
        <v>21</v>
      </c>
      <c r="R251" s="316" t="s">
        <v>466</v>
      </c>
      <c r="T251" s="315" t="s">
        <v>467</v>
      </c>
      <c r="W251" s="313" t="s">
        <v>535</v>
      </c>
      <c r="AB251" s="313" t="e">
        <f t="shared" si="41"/>
        <v>#VALUE!</v>
      </c>
    </row>
    <row r="252" spans="1:28">
      <c r="A252" s="88" t="s">
        <v>93</v>
      </c>
      <c r="B252">
        <f>R252</f>
        <v>1.1842105263157896</v>
      </c>
      <c r="C252" t="s">
        <v>37</v>
      </c>
      <c r="D252" t="s">
        <v>40</v>
      </c>
      <c r="E252" t="s">
        <v>456</v>
      </c>
      <c r="F252" t="s">
        <v>82</v>
      </c>
      <c r="G252" t="s">
        <v>33</v>
      </c>
      <c r="H252">
        <v>5</v>
      </c>
      <c r="I252">
        <f>B252</f>
        <v>1.1842105263157896</v>
      </c>
      <c r="J252" s="313" t="s">
        <v>31</v>
      </c>
      <c r="K252" s="313" t="s">
        <v>31</v>
      </c>
      <c r="L252">
        <f>0.5*B252</f>
        <v>0.5921052631578948</v>
      </c>
      <c r="M252">
        <f>1.5*B252</f>
        <v>1.7763157894736845</v>
      </c>
      <c r="O252">
        <v>1</v>
      </c>
      <c r="P252">
        <v>0.95</v>
      </c>
      <c r="Q252" s="337">
        <v>1.125</v>
      </c>
      <c r="R252" s="318">
        <f t="shared" ref="R252:R253" si="51">(Q252/P252)*O252</f>
        <v>1.1842105263157896</v>
      </c>
      <c r="T252" t="s">
        <v>613</v>
      </c>
      <c r="AB252" s="313">
        <f t="shared" si="41"/>
        <v>1.1842105263157898</v>
      </c>
    </row>
    <row r="253" spans="1:28">
      <c r="A253" s="88" t="s">
        <v>614</v>
      </c>
      <c r="B253">
        <f>R253</f>
        <v>1.125</v>
      </c>
      <c r="C253" t="s">
        <v>37</v>
      </c>
      <c r="D253" t="s">
        <v>40</v>
      </c>
      <c r="E253" t="s">
        <v>456</v>
      </c>
      <c r="F253" t="s">
        <v>59</v>
      </c>
      <c r="G253" t="s">
        <v>33</v>
      </c>
      <c r="H253">
        <v>0</v>
      </c>
      <c r="I253">
        <f>B253</f>
        <v>1.125</v>
      </c>
      <c r="J253" t="s">
        <v>31</v>
      </c>
      <c r="K253" t="s">
        <v>31</v>
      </c>
      <c r="L253" t="s">
        <v>31</v>
      </c>
      <c r="M253" t="s">
        <v>31</v>
      </c>
      <c r="O253">
        <v>1</v>
      </c>
      <c r="P253">
        <v>1</v>
      </c>
      <c r="Q253" s="337">
        <v>1.125</v>
      </c>
      <c r="R253" s="318">
        <f t="shared" si="51"/>
        <v>1.125</v>
      </c>
      <c r="AB253" s="313" t="e">
        <f t="shared" si="41"/>
        <v>#VALUE!</v>
      </c>
    </row>
    <row r="254" spans="1:28" s="70" customFormat="1">
      <c r="A254" s="309" t="s">
        <v>5</v>
      </c>
      <c r="B254" s="123" t="str">
        <f>A264</f>
        <v>Production of Clamping / compression system</v>
      </c>
      <c r="C254" s="69"/>
      <c r="AB254" s="313">
        <f t="shared" si="41"/>
        <v>0</v>
      </c>
    </row>
    <row r="255" spans="1:28">
      <c r="A255" s="71" t="s">
        <v>7</v>
      </c>
      <c r="B255" t="s">
        <v>456</v>
      </c>
      <c r="C255" s="72"/>
      <c r="AB255" s="313">
        <f t="shared" si="41"/>
        <v>0</v>
      </c>
    </row>
    <row r="256" spans="1:28">
      <c r="A256" s="71" t="s">
        <v>9</v>
      </c>
      <c r="B256" s="310" t="s">
        <v>615</v>
      </c>
      <c r="C256" s="72"/>
      <c r="AB256" s="313">
        <f t="shared" si="41"/>
        <v>0</v>
      </c>
    </row>
    <row r="257" spans="1:28" ht="50.25" customHeight="1">
      <c r="A257" s="71" t="s">
        <v>11</v>
      </c>
      <c r="B257" s="320" t="s">
        <v>616</v>
      </c>
      <c r="AB257" s="313">
        <f t="shared" si="41"/>
        <v>0</v>
      </c>
    </row>
    <row r="258" spans="1:28">
      <c r="A258" s="71" t="s">
        <v>13</v>
      </c>
      <c r="B258" t="s">
        <v>59</v>
      </c>
      <c r="AB258" s="313">
        <f t="shared" si="41"/>
        <v>0</v>
      </c>
    </row>
    <row r="259" spans="1:28">
      <c r="A259" s="71" t="s">
        <v>15</v>
      </c>
      <c r="B259">
        <f>B264</f>
        <v>1</v>
      </c>
      <c r="AB259" s="313">
        <f t="shared" si="41"/>
        <v>0</v>
      </c>
    </row>
    <row r="260" spans="1:28">
      <c r="A260" s="71" t="s">
        <v>16</v>
      </c>
      <c r="B260" t="s">
        <v>17</v>
      </c>
      <c r="AB260" s="313">
        <f t="shared" si="41"/>
        <v>0</v>
      </c>
    </row>
    <row r="261" spans="1:28">
      <c r="A261" s="71" t="s">
        <v>18</v>
      </c>
      <c r="B261" t="str">
        <f>C264</f>
        <v>unit</v>
      </c>
      <c r="AB261" s="313">
        <f t="shared" si="41"/>
        <v>0</v>
      </c>
    </row>
    <row r="262" spans="1:28">
      <c r="A262" s="311" t="s">
        <v>19</v>
      </c>
      <c r="AB262" s="313">
        <f t="shared" si="41"/>
        <v>0</v>
      </c>
    </row>
    <row r="263" spans="1:28">
      <c r="A263" s="311" t="s">
        <v>20</v>
      </c>
      <c r="B263" s="131" t="s">
        <v>21</v>
      </c>
      <c r="C263" s="131" t="s">
        <v>18</v>
      </c>
      <c r="D263" s="131" t="s">
        <v>22</v>
      </c>
      <c r="E263" s="131" t="s">
        <v>7</v>
      </c>
      <c r="F263" s="131" t="s">
        <v>13</v>
      </c>
      <c r="G263" s="131" t="s">
        <v>16</v>
      </c>
      <c r="H263" s="131" t="s">
        <v>23</v>
      </c>
      <c r="I263" s="336" t="s">
        <v>24</v>
      </c>
      <c r="J263" s="336" t="s">
        <v>25</v>
      </c>
      <c r="K263" s="336" t="s">
        <v>26</v>
      </c>
      <c r="L263" s="336" t="s">
        <v>27</v>
      </c>
      <c r="M263" s="336" t="s">
        <v>28</v>
      </c>
      <c r="AB263" s="313" t="e">
        <f t="shared" si="41"/>
        <v>#VALUE!</v>
      </c>
    </row>
    <row r="264" spans="1:28" s="313" customFormat="1">
      <c r="A264" s="312" t="str">
        <f>A54</f>
        <v>Production of Clamping / compression system</v>
      </c>
      <c r="B264" s="313">
        <v>1</v>
      </c>
      <c r="C264" t="s">
        <v>18</v>
      </c>
      <c r="D264" s="313" t="s">
        <v>2</v>
      </c>
      <c r="E264" s="313" t="s">
        <v>456</v>
      </c>
      <c r="F264" s="313" t="s">
        <v>59</v>
      </c>
      <c r="G264" s="313" t="s">
        <v>30</v>
      </c>
      <c r="H264" s="313">
        <v>1</v>
      </c>
      <c r="I264" s="313">
        <v>1</v>
      </c>
      <c r="J264" s="313" t="s">
        <v>31</v>
      </c>
      <c r="K264" s="313" t="s">
        <v>31</v>
      </c>
      <c r="L264" s="313" t="s">
        <v>31</v>
      </c>
      <c r="M264" s="313" t="s">
        <v>31</v>
      </c>
      <c r="O264" s="314" t="s">
        <v>464</v>
      </c>
      <c r="P264" s="315" t="s">
        <v>465</v>
      </c>
      <c r="Q264" s="315" t="s">
        <v>21</v>
      </c>
      <c r="R264" s="316" t="s">
        <v>466</v>
      </c>
      <c r="T264" s="315" t="s">
        <v>467</v>
      </c>
      <c r="W264" s="313" t="s">
        <v>535</v>
      </c>
      <c r="AB264" s="313" t="e">
        <f t="shared" si="41"/>
        <v>#VALUE!</v>
      </c>
    </row>
    <row r="265" spans="1:28">
      <c r="A265" s="88" t="s">
        <v>604</v>
      </c>
      <c r="B265">
        <f>R265</f>
        <v>0.48979591836734693</v>
      </c>
      <c r="C265" t="s">
        <v>37</v>
      </c>
      <c r="D265" t="s">
        <v>40</v>
      </c>
      <c r="E265" t="s">
        <v>456</v>
      </c>
      <c r="F265" t="s">
        <v>59</v>
      </c>
      <c r="G265" t="s">
        <v>33</v>
      </c>
      <c r="H265">
        <v>5</v>
      </c>
      <c r="I265">
        <f>B265</f>
        <v>0.48979591836734693</v>
      </c>
      <c r="J265" s="313" t="s">
        <v>31</v>
      </c>
      <c r="K265" s="313" t="s">
        <v>31</v>
      </c>
      <c r="L265">
        <f>0.5*B265</f>
        <v>0.24489795918367346</v>
      </c>
      <c r="M265">
        <f>1.5*B265</f>
        <v>0.73469387755102034</v>
      </c>
      <c r="O265">
        <v>1</v>
      </c>
      <c r="P265">
        <v>0.98</v>
      </c>
      <c r="Q265">
        <f>Y265</f>
        <v>0.48</v>
      </c>
      <c r="R265" s="318">
        <f t="shared" ref="R265:R267" si="52">(Q265/P265)*O265</f>
        <v>0.48979591836734693</v>
      </c>
      <c r="T265" s="333" t="s">
        <v>605</v>
      </c>
      <c r="W265" s="338">
        <v>480</v>
      </c>
      <c r="X265" s="334" t="s">
        <v>580</v>
      </c>
      <c r="Y265">
        <f>0.001*W265</f>
        <v>0.48</v>
      </c>
      <c r="Z265" t="s">
        <v>241</v>
      </c>
      <c r="AB265" s="313">
        <f t="shared" si="41"/>
        <v>0.48979591836734687</v>
      </c>
    </row>
    <row r="266" spans="1:28">
      <c r="A266" s="88" t="s">
        <v>604</v>
      </c>
      <c r="B266">
        <f>R266</f>
        <v>0.10204081632653061</v>
      </c>
      <c r="C266" t="s">
        <v>37</v>
      </c>
      <c r="D266" t="s">
        <v>40</v>
      </c>
      <c r="E266" t="s">
        <v>456</v>
      </c>
      <c r="F266" t="s">
        <v>59</v>
      </c>
      <c r="G266" t="s">
        <v>33</v>
      </c>
      <c r="H266">
        <v>5</v>
      </c>
      <c r="I266">
        <f>B266</f>
        <v>0.10204081632653061</v>
      </c>
      <c r="J266" s="313" t="s">
        <v>31</v>
      </c>
      <c r="K266" s="313" t="s">
        <v>31</v>
      </c>
      <c r="L266">
        <f t="shared" ref="L266:L267" si="53">0.5*B266</f>
        <v>5.1020408163265307E-2</v>
      </c>
      <c r="M266">
        <f t="shared" ref="M266:M267" si="54">1.5*B266</f>
        <v>0.15306122448979592</v>
      </c>
      <c r="O266">
        <v>1</v>
      </c>
      <c r="P266">
        <v>0.98</v>
      </c>
      <c r="Q266">
        <f>Y266</f>
        <v>0.1</v>
      </c>
      <c r="R266" s="318">
        <f t="shared" si="52"/>
        <v>0.10204081632653061</v>
      </c>
      <c r="T266" s="333" t="s">
        <v>605</v>
      </c>
      <c r="W266" s="338">
        <v>100</v>
      </c>
      <c r="X266" s="334" t="s">
        <v>580</v>
      </c>
      <c r="Y266">
        <f>0.001*W266</f>
        <v>0.1</v>
      </c>
      <c r="Z266" t="s">
        <v>241</v>
      </c>
      <c r="AB266" s="313">
        <f t="shared" si="41"/>
        <v>0.10204081632653061</v>
      </c>
    </row>
    <row r="267" spans="1:28">
      <c r="A267" s="88" t="s">
        <v>604</v>
      </c>
      <c r="B267">
        <f>R267</f>
        <v>0.61224489795918369</v>
      </c>
      <c r="C267" t="s">
        <v>37</v>
      </c>
      <c r="D267" t="s">
        <v>40</v>
      </c>
      <c r="E267" t="s">
        <v>456</v>
      </c>
      <c r="F267" t="s">
        <v>59</v>
      </c>
      <c r="G267" t="s">
        <v>33</v>
      </c>
      <c r="H267">
        <v>5</v>
      </c>
      <c r="I267">
        <f>B267</f>
        <v>0.61224489795918369</v>
      </c>
      <c r="J267" s="313" t="s">
        <v>31</v>
      </c>
      <c r="K267" s="313" t="s">
        <v>31</v>
      </c>
      <c r="L267">
        <f t="shared" si="53"/>
        <v>0.30612244897959184</v>
      </c>
      <c r="M267">
        <f t="shared" si="54"/>
        <v>0.91836734693877553</v>
      </c>
      <c r="O267">
        <v>1</v>
      </c>
      <c r="P267">
        <v>0.98</v>
      </c>
      <c r="Q267">
        <f>Y267</f>
        <v>0.6</v>
      </c>
      <c r="R267" s="318">
        <f t="shared" si="52"/>
        <v>0.61224489795918369</v>
      </c>
      <c r="T267" s="333" t="s">
        <v>605</v>
      </c>
      <c r="W267" s="338">
        <v>600</v>
      </c>
      <c r="X267" s="334" t="s">
        <v>580</v>
      </c>
      <c r="Y267">
        <f>0.001*W267</f>
        <v>0.6</v>
      </c>
      <c r="Z267" t="s">
        <v>241</v>
      </c>
      <c r="AB267" s="313">
        <f t="shared" si="41"/>
        <v>0.61224489795918369</v>
      </c>
    </row>
    <row r="268" spans="1:28" s="70" customFormat="1">
      <c r="A268" s="309" t="s">
        <v>5</v>
      </c>
      <c r="B268" s="123" t="str">
        <f>A278</f>
        <v>Production of Cell voltage monitoring unit</v>
      </c>
      <c r="C268" s="69"/>
      <c r="AB268" s="313">
        <f t="shared" si="41"/>
        <v>0</v>
      </c>
    </row>
    <row r="269" spans="1:28">
      <c r="A269" s="71" t="s">
        <v>7</v>
      </c>
      <c r="B269" t="s">
        <v>456</v>
      </c>
      <c r="C269" s="72"/>
      <c r="AB269" s="313">
        <f t="shared" ref="AB269:AB332" si="55">M269-L269</f>
        <v>0</v>
      </c>
    </row>
    <row r="270" spans="1:28">
      <c r="A270" s="71" t="s">
        <v>9</v>
      </c>
      <c r="B270" s="310" t="s">
        <v>617</v>
      </c>
      <c r="C270" s="72"/>
      <c r="AB270" s="313">
        <f t="shared" si="55"/>
        <v>0</v>
      </c>
    </row>
    <row r="271" spans="1:28" ht="50.25" customHeight="1">
      <c r="A271" s="71" t="s">
        <v>11</v>
      </c>
      <c r="B271" s="320" t="s">
        <v>618</v>
      </c>
      <c r="AB271" s="313">
        <f t="shared" si="55"/>
        <v>0</v>
      </c>
    </row>
    <row r="272" spans="1:28">
      <c r="A272" s="71" t="s">
        <v>13</v>
      </c>
      <c r="B272" t="s">
        <v>59</v>
      </c>
      <c r="AB272" s="313">
        <f t="shared" si="55"/>
        <v>0</v>
      </c>
    </row>
    <row r="273" spans="1:28">
      <c r="A273" s="71" t="s">
        <v>15</v>
      </c>
      <c r="B273">
        <f>B278</f>
        <v>1</v>
      </c>
      <c r="AB273" s="313">
        <f t="shared" si="55"/>
        <v>0</v>
      </c>
    </row>
    <row r="274" spans="1:28">
      <c r="A274" s="71" t="s">
        <v>16</v>
      </c>
      <c r="B274" t="s">
        <v>17</v>
      </c>
      <c r="AB274" s="313">
        <f t="shared" si="55"/>
        <v>0</v>
      </c>
    </row>
    <row r="275" spans="1:28">
      <c r="A275" s="71" t="s">
        <v>18</v>
      </c>
      <c r="B275" t="str">
        <f>C278</f>
        <v>unit</v>
      </c>
      <c r="AB275" s="313">
        <f t="shared" si="55"/>
        <v>0</v>
      </c>
    </row>
    <row r="276" spans="1:28">
      <c r="A276" s="311" t="s">
        <v>19</v>
      </c>
      <c r="AB276" s="313">
        <f t="shared" si="55"/>
        <v>0</v>
      </c>
    </row>
    <row r="277" spans="1:28">
      <c r="A277" s="311" t="s">
        <v>20</v>
      </c>
      <c r="B277" s="131" t="s">
        <v>21</v>
      </c>
      <c r="C277" s="131" t="s">
        <v>18</v>
      </c>
      <c r="D277" s="131" t="s">
        <v>22</v>
      </c>
      <c r="E277" s="131" t="s">
        <v>7</v>
      </c>
      <c r="F277" s="131" t="s">
        <v>13</v>
      </c>
      <c r="G277" s="131" t="s">
        <v>16</v>
      </c>
      <c r="H277" s="131" t="s">
        <v>23</v>
      </c>
      <c r="I277" s="336" t="s">
        <v>24</v>
      </c>
      <c r="J277" s="336" t="s">
        <v>25</v>
      </c>
      <c r="K277" s="336" t="s">
        <v>26</v>
      </c>
      <c r="L277" s="336" t="s">
        <v>27</v>
      </c>
      <c r="M277" s="336" t="s">
        <v>28</v>
      </c>
      <c r="AB277" s="313" t="e">
        <f t="shared" si="55"/>
        <v>#VALUE!</v>
      </c>
    </row>
    <row r="278" spans="1:28" s="313" customFormat="1">
      <c r="A278" s="312" t="str">
        <f>A55</f>
        <v>Production of Cell voltage monitoring unit</v>
      </c>
      <c r="B278" s="313">
        <v>1</v>
      </c>
      <c r="C278" t="s">
        <v>18</v>
      </c>
      <c r="D278" s="313" t="s">
        <v>2</v>
      </c>
      <c r="E278" s="313" t="s">
        <v>456</v>
      </c>
      <c r="F278" s="313" t="s">
        <v>59</v>
      </c>
      <c r="G278" s="313" t="s">
        <v>30</v>
      </c>
      <c r="H278" s="313">
        <v>1</v>
      </c>
      <c r="I278" s="313">
        <v>1</v>
      </c>
      <c r="J278" s="313" t="s">
        <v>31</v>
      </c>
      <c r="K278" s="313" t="s">
        <v>31</v>
      </c>
      <c r="L278" s="313" t="s">
        <v>31</v>
      </c>
      <c r="M278" s="313" t="s">
        <v>31</v>
      </c>
      <c r="O278" s="314" t="s">
        <v>464</v>
      </c>
      <c r="P278" s="315" t="s">
        <v>465</v>
      </c>
      <c r="Q278" s="315" t="s">
        <v>21</v>
      </c>
      <c r="R278" s="316" t="s">
        <v>466</v>
      </c>
      <c r="T278" s="315" t="s">
        <v>467</v>
      </c>
      <c r="W278" s="313" t="s">
        <v>535</v>
      </c>
      <c r="AB278" s="313" t="e">
        <f t="shared" si="55"/>
        <v>#VALUE!</v>
      </c>
    </row>
    <row r="279" spans="1:28">
      <c r="A279" s="88" t="s">
        <v>124</v>
      </c>
      <c r="B279">
        <f>R279</f>
        <v>0.73684210526315785</v>
      </c>
      <c r="C279" t="s">
        <v>37</v>
      </c>
      <c r="D279" t="s">
        <v>40</v>
      </c>
      <c r="E279" t="s">
        <v>456</v>
      </c>
      <c r="F279" t="s">
        <v>59</v>
      </c>
      <c r="G279" t="s">
        <v>33</v>
      </c>
      <c r="H279">
        <v>0</v>
      </c>
      <c r="I279">
        <f>B279</f>
        <v>0.73684210526315785</v>
      </c>
      <c r="J279" t="s">
        <v>31</v>
      </c>
      <c r="K279" t="s">
        <v>31</v>
      </c>
      <c r="L279" t="s">
        <v>31</v>
      </c>
      <c r="M279" t="s">
        <v>31</v>
      </c>
      <c r="O279">
        <v>1</v>
      </c>
      <c r="P279">
        <v>0.95</v>
      </c>
      <c r="Q279">
        <v>0.7</v>
      </c>
      <c r="R279" s="318">
        <f t="shared" ref="R279" si="56">(Q279/P279)*O279</f>
        <v>0.73684210526315785</v>
      </c>
      <c r="AB279" s="313" t="e">
        <f t="shared" si="55"/>
        <v>#VALUE!</v>
      </c>
    </row>
    <row r="280" spans="1:28" s="70" customFormat="1">
      <c r="A280" s="309" t="s">
        <v>5</v>
      </c>
      <c r="B280" s="123" t="str">
        <f>A290</f>
        <v>Production of Current collector</v>
      </c>
      <c r="C280" s="69"/>
      <c r="AB280" s="313">
        <f t="shared" si="55"/>
        <v>0</v>
      </c>
    </row>
    <row r="281" spans="1:28">
      <c r="A281" s="71" t="s">
        <v>7</v>
      </c>
      <c r="B281" t="s">
        <v>456</v>
      </c>
      <c r="C281" s="72"/>
      <c r="AB281" s="313">
        <f t="shared" si="55"/>
        <v>0</v>
      </c>
    </row>
    <row r="282" spans="1:28">
      <c r="A282" s="71" t="s">
        <v>9</v>
      </c>
      <c r="B282" s="310" t="s">
        <v>619</v>
      </c>
      <c r="C282" s="72"/>
      <c r="AB282" s="313">
        <f t="shared" si="55"/>
        <v>0</v>
      </c>
    </row>
    <row r="283" spans="1:28" ht="50.25" customHeight="1">
      <c r="A283" s="71" t="s">
        <v>11</v>
      </c>
      <c r="B283" s="320" t="s">
        <v>620</v>
      </c>
      <c r="AB283" s="313">
        <f t="shared" si="55"/>
        <v>0</v>
      </c>
    </row>
    <row r="284" spans="1:28">
      <c r="A284" s="71" t="s">
        <v>13</v>
      </c>
      <c r="B284" t="s">
        <v>59</v>
      </c>
      <c r="AB284" s="313">
        <f t="shared" si="55"/>
        <v>0</v>
      </c>
    </row>
    <row r="285" spans="1:28">
      <c r="A285" s="71" t="s">
        <v>15</v>
      </c>
      <c r="B285">
        <f>B290</f>
        <v>1</v>
      </c>
      <c r="AB285" s="313">
        <f t="shared" si="55"/>
        <v>0</v>
      </c>
    </row>
    <row r="286" spans="1:28">
      <c r="A286" s="71" t="s">
        <v>16</v>
      </c>
      <c r="B286" t="s">
        <v>17</v>
      </c>
      <c r="AB286" s="313">
        <f t="shared" si="55"/>
        <v>0</v>
      </c>
    </row>
    <row r="287" spans="1:28">
      <c r="A287" s="71" t="s">
        <v>18</v>
      </c>
      <c r="B287" t="str">
        <f>C290</f>
        <v>unit</v>
      </c>
      <c r="AB287" s="313">
        <f t="shared" si="55"/>
        <v>0</v>
      </c>
    </row>
    <row r="288" spans="1:28">
      <c r="A288" s="311" t="s">
        <v>19</v>
      </c>
      <c r="AB288" s="313">
        <f t="shared" si="55"/>
        <v>0</v>
      </c>
    </row>
    <row r="289" spans="1:28">
      <c r="A289" s="311" t="s">
        <v>20</v>
      </c>
      <c r="B289" s="131" t="s">
        <v>21</v>
      </c>
      <c r="C289" s="131" t="s">
        <v>18</v>
      </c>
      <c r="D289" s="131" t="s">
        <v>22</v>
      </c>
      <c r="E289" s="131" t="s">
        <v>7</v>
      </c>
      <c r="F289" s="131" t="s">
        <v>13</v>
      </c>
      <c r="G289" s="131" t="s">
        <v>16</v>
      </c>
      <c r="H289" s="131" t="s">
        <v>23</v>
      </c>
      <c r="I289" s="336" t="s">
        <v>24</v>
      </c>
      <c r="J289" s="336" t="s">
        <v>25</v>
      </c>
      <c r="K289" s="336" t="s">
        <v>26</v>
      </c>
      <c r="L289" s="336" t="s">
        <v>27</v>
      </c>
      <c r="M289" s="336" t="s">
        <v>28</v>
      </c>
      <c r="AB289" s="313" t="e">
        <f t="shared" si="55"/>
        <v>#VALUE!</v>
      </c>
    </row>
    <row r="290" spans="1:28" s="313" customFormat="1">
      <c r="A290" s="312" t="str">
        <f>A56</f>
        <v>Production of Current collector</v>
      </c>
      <c r="B290" s="313">
        <v>1</v>
      </c>
      <c r="C290" t="s">
        <v>18</v>
      </c>
      <c r="D290" s="313" t="s">
        <v>2</v>
      </c>
      <c r="E290" s="313" t="s">
        <v>456</v>
      </c>
      <c r="F290" s="313" t="s">
        <v>59</v>
      </c>
      <c r="G290" s="313" t="s">
        <v>30</v>
      </c>
      <c r="H290" s="313">
        <v>1</v>
      </c>
      <c r="I290" s="313">
        <v>1</v>
      </c>
      <c r="J290" s="313" t="s">
        <v>31</v>
      </c>
      <c r="K290" s="313" t="s">
        <v>31</v>
      </c>
      <c r="L290" s="313" t="s">
        <v>31</v>
      </c>
      <c r="M290" s="313" t="s">
        <v>31</v>
      </c>
      <c r="O290" s="314" t="s">
        <v>464</v>
      </c>
      <c r="P290" s="315" t="s">
        <v>465</v>
      </c>
      <c r="Q290" s="315" t="s">
        <v>21</v>
      </c>
      <c r="R290" s="316" t="s">
        <v>466</v>
      </c>
      <c r="T290" s="315" t="s">
        <v>467</v>
      </c>
      <c r="W290" s="313" t="s">
        <v>535</v>
      </c>
      <c r="AB290" s="313" t="e">
        <f t="shared" si="55"/>
        <v>#VALUE!</v>
      </c>
    </row>
    <row r="291" spans="1:28">
      <c r="A291" s="88" t="s">
        <v>120</v>
      </c>
      <c r="B291">
        <f>R291</f>
        <v>0.50510204081632648</v>
      </c>
      <c r="C291" t="s">
        <v>37</v>
      </c>
      <c r="D291" t="s">
        <v>40</v>
      </c>
      <c r="E291" t="s">
        <v>456</v>
      </c>
      <c r="F291" t="s">
        <v>59</v>
      </c>
      <c r="G291" t="s">
        <v>33</v>
      </c>
      <c r="H291">
        <v>5</v>
      </c>
      <c r="I291">
        <f>B291</f>
        <v>0.50510204081632648</v>
      </c>
      <c r="J291" t="s">
        <v>31</v>
      </c>
      <c r="K291" t="s">
        <v>31</v>
      </c>
      <c r="L291">
        <f>0.9*B291</f>
        <v>0.45459183673469383</v>
      </c>
      <c r="M291">
        <f>1.1*B291</f>
        <v>0.55561224489795913</v>
      </c>
      <c r="O291">
        <v>1</v>
      </c>
      <c r="P291">
        <v>0.98</v>
      </c>
      <c r="Q291">
        <v>0.495</v>
      </c>
      <c r="R291" s="318">
        <f t="shared" ref="R291:R295" si="57">(Q291/P291)*O291</f>
        <v>0.50510204081632648</v>
      </c>
      <c r="T291" t="s">
        <v>621</v>
      </c>
      <c r="AB291" s="313">
        <f t="shared" si="55"/>
        <v>0.1010204081632653</v>
      </c>
    </row>
    <row r="292" spans="1:28">
      <c r="A292" s="88" t="s">
        <v>622</v>
      </c>
      <c r="B292">
        <f t="shared" ref="B292:B295" si="58">R292</f>
        <v>2.6938775510204079E-4</v>
      </c>
      <c r="C292" t="s">
        <v>37</v>
      </c>
      <c r="D292" t="s">
        <v>40</v>
      </c>
      <c r="E292" t="s">
        <v>456</v>
      </c>
      <c r="F292" t="s">
        <v>59</v>
      </c>
      <c r="G292" t="s">
        <v>33</v>
      </c>
      <c r="H292">
        <v>0</v>
      </c>
      <c r="I292">
        <f t="shared" ref="I292:I295" si="59">B292</f>
        <v>2.6938775510204079E-4</v>
      </c>
      <c r="J292" t="s">
        <v>31</v>
      </c>
      <c r="K292" t="s">
        <v>31</v>
      </c>
      <c r="L292" t="s">
        <v>31</v>
      </c>
      <c r="M292" t="s">
        <v>31</v>
      </c>
      <c r="O292">
        <f>20/15</f>
        <v>1.3333333333333333</v>
      </c>
      <c r="P292">
        <v>0.98</v>
      </c>
      <c r="Q292">
        <v>1.9799999999999999E-4</v>
      </c>
      <c r="R292" s="318">
        <f t="shared" si="57"/>
        <v>2.6938775510204079E-4</v>
      </c>
      <c r="AB292" s="313" t="e">
        <f t="shared" si="55"/>
        <v>#VALUE!</v>
      </c>
    </row>
    <row r="293" spans="1:28">
      <c r="A293" s="88" t="s">
        <v>623</v>
      </c>
      <c r="B293">
        <f t="shared" si="58"/>
        <v>1.4217687074829931E-3</v>
      </c>
      <c r="C293" t="s">
        <v>37</v>
      </c>
      <c r="D293" t="s">
        <v>40</v>
      </c>
      <c r="E293" t="s">
        <v>456</v>
      </c>
      <c r="F293" t="s">
        <v>59</v>
      </c>
      <c r="G293" t="s">
        <v>33</v>
      </c>
      <c r="H293">
        <v>0</v>
      </c>
      <c r="I293">
        <f t="shared" si="59"/>
        <v>1.4217687074829931E-3</v>
      </c>
      <c r="J293" t="s">
        <v>31</v>
      </c>
      <c r="K293" t="s">
        <v>31</v>
      </c>
      <c r="L293" t="s">
        <v>31</v>
      </c>
      <c r="M293" t="s">
        <v>31</v>
      </c>
      <c r="O293">
        <f>20/15</f>
        <v>1.3333333333333333</v>
      </c>
      <c r="P293">
        <v>0.98</v>
      </c>
      <c r="Q293">
        <v>1.0449999999999999E-3</v>
      </c>
      <c r="R293" s="318">
        <f t="shared" si="57"/>
        <v>1.4217687074829931E-3</v>
      </c>
      <c r="AB293" s="313" t="e">
        <f t="shared" si="55"/>
        <v>#VALUE!</v>
      </c>
    </row>
    <row r="294" spans="1:28">
      <c r="A294" s="88" t="s">
        <v>624</v>
      </c>
      <c r="B294">
        <f t="shared" si="58"/>
        <v>0.495</v>
      </c>
      <c r="C294" t="s">
        <v>37</v>
      </c>
      <c r="D294" t="s">
        <v>40</v>
      </c>
      <c r="E294" t="s">
        <v>456</v>
      </c>
      <c r="F294" t="s">
        <v>59</v>
      </c>
      <c r="G294" t="s">
        <v>33</v>
      </c>
      <c r="H294">
        <v>0</v>
      </c>
      <c r="I294">
        <f t="shared" si="59"/>
        <v>0.495</v>
      </c>
      <c r="J294" t="s">
        <v>31</v>
      </c>
      <c r="K294" t="s">
        <v>31</v>
      </c>
      <c r="L294" t="s">
        <v>31</v>
      </c>
      <c r="M294" t="s">
        <v>31</v>
      </c>
      <c r="O294">
        <v>1</v>
      </c>
      <c r="P294">
        <v>1</v>
      </c>
      <c r="Q294">
        <v>0.495</v>
      </c>
      <c r="R294" s="318">
        <f t="shared" si="57"/>
        <v>0.495</v>
      </c>
      <c r="AB294" s="313" t="e">
        <f t="shared" si="55"/>
        <v>#VALUE!</v>
      </c>
    </row>
    <row r="295" spans="1:28">
      <c r="A295" s="88" t="s">
        <v>608</v>
      </c>
      <c r="B295">
        <f t="shared" si="58"/>
        <v>2.8000000000000001E-2</v>
      </c>
      <c r="C295" t="s">
        <v>609</v>
      </c>
      <c r="D295" t="s">
        <v>40</v>
      </c>
      <c r="E295" t="s">
        <v>456</v>
      </c>
      <c r="F295" t="s">
        <v>82</v>
      </c>
      <c r="G295" t="s">
        <v>33</v>
      </c>
      <c r="H295">
        <v>0</v>
      </c>
      <c r="I295">
        <f t="shared" si="59"/>
        <v>2.8000000000000001E-2</v>
      </c>
      <c r="J295" t="s">
        <v>31</v>
      </c>
      <c r="K295" t="s">
        <v>31</v>
      </c>
      <c r="L295" t="s">
        <v>31</v>
      </c>
      <c r="M295" t="s">
        <v>31</v>
      </c>
      <c r="O295">
        <v>1</v>
      </c>
      <c r="P295">
        <v>1</v>
      </c>
      <c r="Q295">
        <v>2.8000000000000001E-2</v>
      </c>
      <c r="R295" s="318">
        <f t="shared" si="57"/>
        <v>2.8000000000000001E-2</v>
      </c>
      <c r="AB295" s="313" t="e">
        <f t="shared" si="55"/>
        <v>#VALUE!</v>
      </c>
    </row>
    <row r="296" spans="1:28" s="70" customFormat="1">
      <c r="A296" s="309" t="s">
        <v>5</v>
      </c>
      <c r="B296" s="123" t="str">
        <f>A306</f>
        <v>Production of Insulated pressure vessel / Fuel Cell Stack Enclosure</v>
      </c>
      <c r="C296" s="69"/>
      <c r="AB296" s="313">
        <f t="shared" si="55"/>
        <v>0</v>
      </c>
    </row>
    <row r="297" spans="1:28">
      <c r="A297" s="71" t="s">
        <v>7</v>
      </c>
      <c r="B297" t="s">
        <v>456</v>
      </c>
      <c r="C297" s="72"/>
      <c r="AB297" s="313">
        <f t="shared" si="55"/>
        <v>0</v>
      </c>
    </row>
    <row r="298" spans="1:28">
      <c r="A298" s="71" t="s">
        <v>9</v>
      </c>
      <c r="B298" s="310" t="s">
        <v>625</v>
      </c>
      <c r="C298" s="72"/>
      <c r="AB298" s="313">
        <f t="shared" si="55"/>
        <v>0</v>
      </c>
    </row>
    <row r="299" spans="1:28" ht="50.25" customHeight="1">
      <c r="A299" s="71" t="s">
        <v>11</v>
      </c>
      <c r="B299" s="320" t="s">
        <v>626</v>
      </c>
      <c r="AB299" s="313">
        <f t="shared" si="55"/>
        <v>0</v>
      </c>
    </row>
    <row r="300" spans="1:28">
      <c r="A300" s="71" t="s">
        <v>13</v>
      </c>
      <c r="B300" t="s">
        <v>59</v>
      </c>
      <c r="AB300" s="313">
        <f t="shared" si="55"/>
        <v>0</v>
      </c>
    </row>
    <row r="301" spans="1:28">
      <c r="A301" s="71" t="s">
        <v>15</v>
      </c>
      <c r="B301">
        <f>B306</f>
        <v>1</v>
      </c>
      <c r="AB301" s="313">
        <f t="shared" si="55"/>
        <v>0</v>
      </c>
    </row>
    <row r="302" spans="1:28">
      <c r="A302" s="71" t="s">
        <v>16</v>
      </c>
      <c r="B302" t="s">
        <v>17</v>
      </c>
      <c r="AB302" s="313">
        <f t="shared" si="55"/>
        <v>0</v>
      </c>
    </row>
    <row r="303" spans="1:28">
      <c r="A303" s="71" t="s">
        <v>18</v>
      </c>
      <c r="B303" t="str">
        <f>C306</f>
        <v>unit</v>
      </c>
      <c r="AB303" s="313">
        <f t="shared" si="55"/>
        <v>0</v>
      </c>
    </row>
    <row r="304" spans="1:28">
      <c r="A304" s="311" t="s">
        <v>19</v>
      </c>
      <c r="AB304" s="313">
        <f t="shared" si="55"/>
        <v>0</v>
      </c>
    </row>
    <row r="305" spans="1:28">
      <c r="A305" s="311" t="s">
        <v>20</v>
      </c>
      <c r="B305" s="131" t="s">
        <v>21</v>
      </c>
      <c r="C305" s="131" t="s">
        <v>18</v>
      </c>
      <c r="D305" s="131" t="s">
        <v>22</v>
      </c>
      <c r="E305" s="131" t="s">
        <v>7</v>
      </c>
      <c r="F305" s="131" t="s">
        <v>13</v>
      </c>
      <c r="G305" s="131" t="s">
        <v>16</v>
      </c>
      <c r="H305" s="131" t="s">
        <v>23</v>
      </c>
      <c r="I305" s="336" t="s">
        <v>24</v>
      </c>
      <c r="J305" s="336" t="s">
        <v>25</v>
      </c>
      <c r="K305" s="336" t="s">
        <v>26</v>
      </c>
      <c r="L305" s="336" t="s">
        <v>27</v>
      </c>
      <c r="M305" s="336" t="s">
        <v>28</v>
      </c>
      <c r="AB305" s="313" t="e">
        <f t="shared" si="55"/>
        <v>#VALUE!</v>
      </c>
    </row>
    <row r="306" spans="1:28" s="313" customFormat="1">
      <c r="A306" s="312" t="str">
        <f>A57</f>
        <v>Production of Insulated pressure vessel / Fuel Cell Stack Enclosure</v>
      </c>
      <c r="B306" s="313">
        <v>1</v>
      </c>
      <c r="C306" t="s">
        <v>18</v>
      </c>
      <c r="D306" s="313" t="s">
        <v>2</v>
      </c>
      <c r="E306" s="313" t="s">
        <v>456</v>
      </c>
      <c r="F306" s="313" t="s">
        <v>59</v>
      </c>
      <c r="G306" s="313" t="s">
        <v>30</v>
      </c>
      <c r="H306" s="313">
        <v>1</v>
      </c>
      <c r="I306" s="313">
        <v>1</v>
      </c>
      <c r="J306" s="313" t="s">
        <v>31</v>
      </c>
      <c r="K306" s="313" t="s">
        <v>31</v>
      </c>
      <c r="L306" s="313" t="s">
        <v>31</v>
      </c>
      <c r="M306" s="313" t="s">
        <v>31</v>
      </c>
      <c r="O306" s="314" t="s">
        <v>464</v>
      </c>
      <c r="P306" s="315" t="s">
        <v>465</v>
      </c>
      <c r="Q306" s="315" t="s">
        <v>21</v>
      </c>
      <c r="R306" s="316" t="s">
        <v>466</v>
      </c>
      <c r="T306" s="315" t="s">
        <v>467</v>
      </c>
      <c r="W306" s="313" t="s">
        <v>535</v>
      </c>
      <c r="AB306" s="313" t="e">
        <f t="shared" si="55"/>
        <v>#VALUE!</v>
      </c>
    </row>
    <row r="307" spans="1:28">
      <c r="A307" s="88" t="s">
        <v>627</v>
      </c>
      <c r="B307">
        <f>R307</f>
        <v>0.31578947368421051</v>
      </c>
      <c r="C307" t="s">
        <v>37</v>
      </c>
      <c r="D307" t="s">
        <v>40</v>
      </c>
      <c r="E307" t="s">
        <v>456</v>
      </c>
      <c r="F307" t="s">
        <v>82</v>
      </c>
      <c r="G307" t="s">
        <v>33</v>
      </c>
      <c r="H307">
        <v>5</v>
      </c>
      <c r="I307">
        <f t="shared" ref="I307:I308" si="60">B307</f>
        <v>0.31578947368421051</v>
      </c>
      <c r="J307" s="313" t="s">
        <v>31</v>
      </c>
      <c r="K307" s="313" t="s">
        <v>31</v>
      </c>
      <c r="L307">
        <f>0</f>
        <v>0</v>
      </c>
      <c r="M307">
        <f>2*B307</f>
        <v>0.63157894736842102</v>
      </c>
      <c r="O307">
        <v>1</v>
      </c>
      <c r="P307">
        <v>0.95</v>
      </c>
      <c r="Q307">
        <v>0.3</v>
      </c>
      <c r="R307" s="339">
        <f t="shared" ref="R307:R310" si="61">(Q307/P307)*O307</f>
        <v>0.31578947368421051</v>
      </c>
      <c r="T307" t="s">
        <v>628</v>
      </c>
      <c r="AB307" s="313">
        <f t="shared" si="55"/>
        <v>0.63157894736842102</v>
      </c>
    </row>
    <row r="308" spans="1:28">
      <c r="A308" s="335" t="s">
        <v>121</v>
      </c>
      <c r="B308">
        <f>R308</f>
        <v>0.78947368421052633</v>
      </c>
      <c r="C308" t="s">
        <v>37</v>
      </c>
      <c r="D308" t="s">
        <v>40</v>
      </c>
      <c r="E308" t="s">
        <v>456</v>
      </c>
      <c r="F308" t="s">
        <v>59</v>
      </c>
      <c r="G308" t="s">
        <v>33</v>
      </c>
      <c r="H308">
        <v>5</v>
      </c>
      <c r="I308">
        <f t="shared" si="60"/>
        <v>0.78947368421052633</v>
      </c>
      <c r="J308" s="313" t="s">
        <v>31</v>
      </c>
      <c r="K308" s="313" t="s">
        <v>31</v>
      </c>
      <c r="L308">
        <f>0</f>
        <v>0</v>
      </c>
      <c r="M308">
        <f>2*B308</f>
        <v>1.5789473684210527</v>
      </c>
      <c r="O308">
        <v>1</v>
      </c>
      <c r="P308">
        <v>0.95</v>
      </c>
      <c r="Q308">
        <v>0.75</v>
      </c>
      <c r="R308" s="339">
        <f t="shared" si="61"/>
        <v>0.78947368421052633</v>
      </c>
      <c r="T308" t="s">
        <v>628</v>
      </c>
      <c r="AB308" s="313">
        <f t="shared" si="55"/>
        <v>1.5789473684210527</v>
      </c>
    </row>
    <row r="309" spans="1:28">
      <c r="A309" s="88" t="s">
        <v>93</v>
      </c>
      <c r="B309">
        <f>R309</f>
        <v>0.78947368421052633</v>
      </c>
      <c r="C309" t="s">
        <v>37</v>
      </c>
      <c r="D309" t="s">
        <v>40</v>
      </c>
      <c r="E309" t="s">
        <v>456</v>
      </c>
      <c r="F309" t="s">
        <v>82</v>
      </c>
      <c r="G309" t="s">
        <v>33</v>
      </c>
      <c r="H309">
        <v>5</v>
      </c>
      <c r="I309">
        <f>B309</f>
        <v>0.78947368421052633</v>
      </c>
      <c r="J309" s="313" t="s">
        <v>31</v>
      </c>
      <c r="K309" s="313" t="s">
        <v>31</v>
      </c>
      <c r="L309">
        <f>0</f>
        <v>0</v>
      </c>
      <c r="M309">
        <f>2*B309</f>
        <v>1.5789473684210527</v>
      </c>
      <c r="O309">
        <v>1</v>
      </c>
      <c r="P309">
        <v>0.95</v>
      </c>
      <c r="Q309" s="227">
        <v>0.75</v>
      </c>
      <c r="R309" s="339">
        <f t="shared" si="61"/>
        <v>0.78947368421052633</v>
      </c>
      <c r="T309" t="s">
        <v>628</v>
      </c>
      <c r="AB309" s="313">
        <f t="shared" si="55"/>
        <v>1.5789473684210527</v>
      </c>
    </row>
    <row r="310" spans="1:28">
      <c r="A310" s="88" t="s">
        <v>629</v>
      </c>
      <c r="B310">
        <f>R310</f>
        <v>1.8947368421052633</v>
      </c>
      <c r="C310" t="s">
        <v>37</v>
      </c>
      <c r="D310" t="s">
        <v>40</v>
      </c>
      <c r="E310" t="s">
        <v>456</v>
      </c>
      <c r="F310" t="s">
        <v>59</v>
      </c>
      <c r="G310" t="s">
        <v>33</v>
      </c>
      <c r="H310">
        <v>5</v>
      </c>
      <c r="I310">
        <f t="shared" ref="I310" si="62">B310</f>
        <v>1.8947368421052633</v>
      </c>
      <c r="J310" s="313" t="s">
        <v>31</v>
      </c>
      <c r="K310" s="313" t="s">
        <v>31</v>
      </c>
      <c r="L310">
        <f>0</f>
        <v>0</v>
      </c>
      <c r="M310">
        <f>2*B310</f>
        <v>3.7894736842105265</v>
      </c>
      <c r="O310">
        <v>1</v>
      </c>
      <c r="P310">
        <v>0.95</v>
      </c>
      <c r="Q310">
        <v>1.8</v>
      </c>
      <c r="R310" s="339">
        <f t="shared" si="61"/>
        <v>1.8947368421052633</v>
      </c>
      <c r="T310" t="s">
        <v>628</v>
      </c>
      <c r="AB310" s="313">
        <f t="shared" si="55"/>
        <v>3.7894736842105265</v>
      </c>
    </row>
    <row r="311" spans="1:28" s="70" customFormat="1">
      <c r="A311" s="309" t="s">
        <v>5</v>
      </c>
      <c r="B311" s="123" t="str">
        <f>A321</f>
        <v>production of insulated pressure vessel</v>
      </c>
      <c r="C311" s="69"/>
      <c r="AB311" s="313">
        <f t="shared" si="55"/>
        <v>0</v>
      </c>
    </row>
    <row r="312" spans="1:28">
      <c r="A312" s="71" t="s">
        <v>7</v>
      </c>
      <c r="B312" t="s">
        <v>456</v>
      </c>
      <c r="C312" s="72"/>
      <c r="AB312" s="313">
        <f t="shared" si="55"/>
        <v>0</v>
      </c>
    </row>
    <row r="313" spans="1:28">
      <c r="A313" s="71" t="s">
        <v>9</v>
      </c>
      <c r="B313" s="310" t="s">
        <v>630</v>
      </c>
      <c r="C313" s="72"/>
      <c r="AB313" s="313">
        <f t="shared" si="55"/>
        <v>0</v>
      </c>
    </row>
    <row r="314" spans="1:28" ht="50.25" customHeight="1">
      <c r="A314" s="71" t="s">
        <v>11</v>
      </c>
      <c r="B314" s="320" t="s">
        <v>631</v>
      </c>
      <c r="AB314" s="313">
        <f t="shared" si="55"/>
        <v>0</v>
      </c>
    </row>
    <row r="315" spans="1:28">
      <c r="A315" s="71" t="s">
        <v>13</v>
      </c>
      <c r="B315" t="s">
        <v>59</v>
      </c>
      <c r="AB315" s="313">
        <f t="shared" si="55"/>
        <v>0</v>
      </c>
    </row>
    <row r="316" spans="1:28">
      <c r="A316" s="71" t="s">
        <v>15</v>
      </c>
      <c r="B316">
        <f>B321</f>
        <v>1</v>
      </c>
      <c r="AB316" s="313">
        <f t="shared" si="55"/>
        <v>0</v>
      </c>
    </row>
    <row r="317" spans="1:28">
      <c r="A317" s="71" t="s">
        <v>16</v>
      </c>
      <c r="B317" t="s">
        <v>17</v>
      </c>
      <c r="AB317" s="313">
        <f t="shared" si="55"/>
        <v>0</v>
      </c>
    </row>
    <row r="318" spans="1:28">
      <c r="A318" s="71" t="s">
        <v>18</v>
      </c>
      <c r="B318" t="str">
        <f>C321</f>
        <v>unit</v>
      </c>
      <c r="AB318" s="313">
        <f t="shared" si="55"/>
        <v>0</v>
      </c>
    </row>
    <row r="319" spans="1:28">
      <c r="A319" s="311" t="s">
        <v>19</v>
      </c>
      <c r="AB319" s="313">
        <f t="shared" si="55"/>
        <v>0</v>
      </c>
    </row>
    <row r="320" spans="1:28">
      <c r="A320" s="311" t="s">
        <v>20</v>
      </c>
      <c r="B320" s="131" t="s">
        <v>21</v>
      </c>
      <c r="C320" s="131" t="s">
        <v>18</v>
      </c>
      <c r="D320" s="131" t="s">
        <v>22</v>
      </c>
      <c r="E320" s="131" t="s">
        <v>7</v>
      </c>
      <c r="F320" s="131" t="s">
        <v>13</v>
      </c>
      <c r="G320" s="131" t="s">
        <v>16</v>
      </c>
      <c r="H320" s="131" t="s">
        <v>23</v>
      </c>
      <c r="I320" s="336" t="s">
        <v>24</v>
      </c>
      <c r="J320" s="336" t="s">
        <v>25</v>
      </c>
      <c r="K320" s="336" t="s">
        <v>26</v>
      </c>
      <c r="L320" s="336" t="s">
        <v>27</v>
      </c>
      <c r="M320" s="336" t="s">
        <v>28</v>
      </c>
      <c r="AB320" s="313" t="e">
        <f t="shared" si="55"/>
        <v>#VALUE!</v>
      </c>
    </row>
    <row r="321" spans="1:28" s="313" customFormat="1">
      <c r="A321" s="312" t="str">
        <f>A26</f>
        <v>production of insulated pressure vessel</v>
      </c>
      <c r="B321" s="313">
        <v>1</v>
      </c>
      <c r="C321" t="s">
        <v>18</v>
      </c>
      <c r="D321" s="313" t="s">
        <v>2</v>
      </c>
      <c r="E321" s="313" t="s">
        <v>456</v>
      </c>
      <c r="F321" s="313" t="s">
        <v>59</v>
      </c>
      <c r="G321" s="313" t="s">
        <v>30</v>
      </c>
      <c r="H321" s="313">
        <v>1</v>
      </c>
      <c r="I321" s="313">
        <v>1</v>
      </c>
      <c r="J321" s="313" t="s">
        <v>31</v>
      </c>
      <c r="K321" s="313" t="s">
        <v>31</v>
      </c>
      <c r="L321" s="313" t="s">
        <v>31</v>
      </c>
      <c r="M321" s="313" t="s">
        <v>31</v>
      </c>
      <c r="O321" s="314" t="s">
        <v>464</v>
      </c>
      <c r="P321" s="315" t="s">
        <v>465</v>
      </c>
      <c r="Q321" s="315" t="s">
        <v>21</v>
      </c>
      <c r="R321" s="316" t="s">
        <v>466</v>
      </c>
      <c r="T321" s="315" t="s">
        <v>467</v>
      </c>
      <c r="W321" s="313" t="s">
        <v>535</v>
      </c>
      <c r="AB321" s="313" t="e">
        <f t="shared" si="55"/>
        <v>#VALUE!</v>
      </c>
    </row>
    <row r="322" spans="1:28">
      <c r="A322" s="88" t="s">
        <v>347</v>
      </c>
      <c r="B322">
        <f>R322</f>
        <v>5.5555555555555554</v>
      </c>
      <c r="C322" t="s">
        <v>37</v>
      </c>
      <c r="D322" t="s">
        <v>40</v>
      </c>
      <c r="E322" t="s">
        <v>456</v>
      </c>
      <c r="F322" t="s">
        <v>59</v>
      </c>
      <c r="G322" t="s">
        <v>33</v>
      </c>
      <c r="H322">
        <v>5</v>
      </c>
      <c r="I322">
        <f t="shared" ref="I322" si="63">B322</f>
        <v>5.5555555555555554</v>
      </c>
      <c r="J322" s="313" t="s">
        <v>31</v>
      </c>
      <c r="K322" s="313" t="s">
        <v>31</v>
      </c>
      <c r="L322">
        <f>0</f>
        <v>0</v>
      </c>
      <c r="M322">
        <f>2*B322</f>
        <v>11.111111111111111</v>
      </c>
      <c r="O322">
        <v>1</v>
      </c>
      <c r="P322">
        <v>0.9</v>
      </c>
      <c r="Q322">
        <v>5</v>
      </c>
      <c r="R322" s="339">
        <f t="shared" ref="R322" si="64">(Q322/P322)*O322</f>
        <v>5.5555555555555554</v>
      </c>
      <c r="T322" t="s">
        <v>628</v>
      </c>
      <c r="AB322" s="313">
        <f t="shared" si="55"/>
        <v>11.111111111111111</v>
      </c>
    </row>
    <row r="323" spans="1:28" s="70" customFormat="1">
      <c r="A323" s="309" t="s">
        <v>5</v>
      </c>
      <c r="B323" s="123" t="str">
        <f>A333</f>
        <v xml:space="preserve">production of air system </v>
      </c>
      <c r="C323" s="69"/>
      <c r="AB323" s="313">
        <f t="shared" si="55"/>
        <v>0</v>
      </c>
    </row>
    <row r="324" spans="1:28">
      <c r="A324" s="71" t="s">
        <v>7</v>
      </c>
      <c r="B324" t="s">
        <v>456</v>
      </c>
      <c r="C324" s="72"/>
      <c r="AB324" s="313">
        <f t="shared" si="55"/>
        <v>0</v>
      </c>
    </row>
    <row r="325" spans="1:28">
      <c r="A325" s="71" t="s">
        <v>9</v>
      </c>
      <c r="B325" s="310" t="s">
        <v>632</v>
      </c>
      <c r="C325" s="72"/>
      <c r="AB325" s="313">
        <f t="shared" si="55"/>
        <v>0</v>
      </c>
    </row>
    <row r="326" spans="1:28" ht="50.25" customHeight="1">
      <c r="A326" s="71" t="s">
        <v>11</v>
      </c>
      <c r="B326" s="320" t="s">
        <v>633</v>
      </c>
      <c r="AB326" s="313">
        <f t="shared" si="55"/>
        <v>0</v>
      </c>
    </row>
    <row r="327" spans="1:28">
      <c r="A327" s="71" t="s">
        <v>13</v>
      </c>
      <c r="B327" t="s">
        <v>59</v>
      </c>
      <c r="AB327" s="313">
        <f t="shared" si="55"/>
        <v>0</v>
      </c>
    </row>
    <row r="328" spans="1:28">
      <c r="A328" s="71" t="s">
        <v>15</v>
      </c>
      <c r="B328">
        <f>B333</f>
        <v>1</v>
      </c>
      <c r="AB328" s="313">
        <f t="shared" si="55"/>
        <v>0</v>
      </c>
    </row>
    <row r="329" spans="1:28">
      <c r="A329" s="71" t="s">
        <v>16</v>
      </c>
      <c r="B329" t="s">
        <v>17</v>
      </c>
      <c r="AB329" s="313">
        <f t="shared" si="55"/>
        <v>0</v>
      </c>
    </row>
    <row r="330" spans="1:28">
      <c r="A330" s="71" t="s">
        <v>18</v>
      </c>
      <c r="B330" t="str">
        <f>C333</f>
        <v>unit</v>
      </c>
      <c r="AB330" s="313">
        <f t="shared" si="55"/>
        <v>0</v>
      </c>
    </row>
    <row r="331" spans="1:28">
      <c r="A331" s="311" t="s">
        <v>19</v>
      </c>
      <c r="AB331" s="313">
        <f t="shared" si="55"/>
        <v>0</v>
      </c>
    </row>
    <row r="332" spans="1:28">
      <c r="A332" s="311" t="s">
        <v>20</v>
      </c>
      <c r="B332" s="131" t="s">
        <v>21</v>
      </c>
      <c r="C332" s="131" t="s">
        <v>18</v>
      </c>
      <c r="D332" s="131" t="s">
        <v>22</v>
      </c>
      <c r="E332" s="131" t="s">
        <v>7</v>
      </c>
      <c r="F332" s="131" t="s">
        <v>13</v>
      </c>
      <c r="G332" s="131" t="s">
        <v>16</v>
      </c>
      <c r="H332" s="131" t="s">
        <v>23</v>
      </c>
      <c r="I332" s="336" t="s">
        <v>24</v>
      </c>
      <c r="J332" s="336" t="s">
        <v>25</v>
      </c>
      <c r="K332" s="336" t="s">
        <v>26</v>
      </c>
      <c r="L332" s="336" t="s">
        <v>27</v>
      </c>
      <c r="M332" s="336" t="s">
        <v>28</v>
      </c>
      <c r="AB332" s="313" t="e">
        <f t="shared" si="55"/>
        <v>#VALUE!</v>
      </c>
    </row>
    <row r="333" spans="1:28" s="313" customFormat="1">
      <c r="A333" s="312" t="str">
        <f>A27</f>
        <v xml:space="preserve">production of air system </v>
      </c>
      <c r="B333" s="313">
        <v>1</v>
      </c>
      <c r="C333" t="s">
        <v>18</v>
      </c>
      <c r="D333" s="313" t="s">
        <v>2</v>
      </c>
      <c r="E333" s="313" t="s">
        <v>456</v>
      </c>
      <c r="F333" s="313" t="s">
        <v>59</v>
      </c>
      <c r="G333" s="313" t="s">
        <v>30</v>
      </c>
      <c r="H333" s="313">
        <v>1</v>
      </c>
      <c r="I333" s="313">
        <v>1</v>
      </c>
      <c r="J333" s="313" t="s">
        <v>31</v>
      </c>
      <c r="K333" s="313" t="s">
        <v>31</v>
      </c>
      <c r="L333" s="313" t="s">
        <v>31</v>
      </c>
      <c r="M333" s="313" t="s">
        <v>31</v>
      </c>
      <c r="O333" s="314" t="s">
        <v>464</v>
      </c>
      <c r="P333" s="315" t="s">
        <v>465</v>
      </c>
      <c r="Q333" s="315" t="s">
        <v>21</v>
      </c>
      <c r="R333" s="316" t="s">
        <v>466</v>
      </c>
      <c r="T333" s="315" t="s">
        <v>467</v>
      </c>
      <c r="W333" s="313" t="s">
        <v>535</v>
      </c>
      <c r="AB333" s="313" t="e">
        <f t="shared" ref="AB333:AB396" si="65">M333-L333</f>
        <v>#VALUE!</v>
      </c>
    </row>
    <row r="334" spans="1:28">
      <c r="A334" s="88" t="s">
        <v>634</v>
      </c>
      <c r="B334">
        <f>Q335</f>
        <v>3.5714285714285712E-2</v>
      </c>
      <c r="C334" t="s">
        <v>18</v>
      </c>
      <c r="D334" t="s">
        <v>40</v>
      </c>
      <c r="E334" s="313" t="s">
        <v>456</v>
      </c>
      <c r="F334" t="s">
        <v>59</v>
      </c>
      <c r="G334" t="s">
        <v>33</v>
      </c>
      <c r="H334">
        <v>0</v>
      </c>
      <c r="I334">
        <f>B334</f>
        <v>3.5714285714285712E-2</v>
      </c>
      <c r="J334" s="313" t="s">
        <v>31</v>
      </c>
      <c r="K334" s="313" t="s">
        <v>31</v>
      </c>
      <c r="L334" s="313" t="s">
        <v>31</v>
      </c>
      <c r="M334" s="313" t="s">
        <v>31</v>
      </c>
      <c r="O334">
        <f>10/35</f>
        <v>0.2857142857142857</v>
      </c>
      <c r="P334">
        <v>1</v>
      </c>
      <c r="Q334">
        <v>10</v>
      </c>
      <c r="R334" s="339">
        <f t="shared" ref="R334:R337" si="66">(Q334/P334)*O334</f>
        <v>2.8571428571428568</v>
      </c>
      <c r="AB334" s="313" t="e">
        <f t="shared" si="65"/>
        <v>#VALUE!</v>
      </c>
    </row>
    <row r="335" spans="1:28">
      <c r="A335" s="205" t="s">
        <v>635</v>
      </c>
      <c r="B335">
        <v>1</v>
      </c>
      <c r="C335" t="s">
        <v>18</v>
      </c>
      <c r="D335" t="s">
        <v>2</v>
      </c>
      <c r="E335" s="313" t="s">
        <v>456</v>
      </c>
      <c r="F335" t="s">
        <v>59</v>
      </c>
      <c r="G335" t="s">
        <v>33</v>
      </c>
      <c r="H335">
        <v>0</v>
      </c>
      <c r="I335">
        <f t="shared" ref="I335:I337" si="67">B335</f>
        <v>1</v>
      </c>
      <c r="J335" s="313" t="s">
        <v>31</v>
      </c>
      <c r="K335" s="313" t="s">
        <v>31</v>
      </c>
      <c r="L335" s="313" t="s">
        <v>31</v>
      </c>
      <c r="M335" s="313" t="s">
        <v>31</v>
      </c>
      <c r="N335" t="s">
        <v>636</v>
      </c>
      <c r="O335">
        <f>10/20</f>
        <v>0.5</v>
      </c>
      <c r="P335">
        <v>1</v>
      </c>
      <c r="Q335">
        <f>Z335</f>
        <v>3.5714285714285712E-2</v>
      </c>
      <c r="R335" s="339">
        <f t="shared" si="66"/>
        <v>1.7857142857142856E-2</v>
      </c>
      <c r="W335" t="s">
        <v>637</v>
      </c>
      <c r="Y335" t="s">
        <v>638</v>
      </c>
      <c r="Z335">
        <f>5/140</f>
        <v>3.5714285714285712E-2</v>
      </c>
      <c r="AA335" t="s">
        <v>639</v>
      </c>
      <c r="AB335" s="313" t="e">
        <f t="shared" si="65"/>
        <v>#VALUE!</v>
      </c>
    </row>
    <row r="336" spans="1:28">
      <c r="A336" s="205" t="s">
        <v>640</v>
      </c>
      <c r="B336">
        <v>1</v>
      </c>
      <c r="C336" t="s">
        <v>18</v>
      </c>
      <c r="D336" t="s">
        <v>2</v>
      </c>
      <c r="E336" s="313" t="s">
        <v>456</v>
      </c>
      <c r="F336" t="s">
        <v>59</v>
      </c>
      <c r="G336" t="s">
        <v>33</v>
      </c>
      <c r="H336">
        <v>0</v>
      </c>
      <c r="I336">
        <f t="shared" si="67"/>
        <v>1</v>
      </c>
      <c r="J336" s="313" t="s">
        <v>31</v>
      </c>
      <c r="K336" s="313" t="s">
        <v>31</v>
      </c>
      <c r="L336" s="313" t="s">
        <v>31</v>
      </c>
      <c r="M336" s="313" t="s">
        <v>31</v>
      </c>
      <c r="N336" t="s">
        <v>641</v>
      </c>
      <c r="O336">
        <f>10/20</f>
        <v>0.5</v>
      </c>
      <c r="P336">
        <v>1</v>
      </c>
      <c r="Q336">
        <v>1.02</v>
      </c>
      <c r="R336" s="339">
        <f t="shared" si="66"/>
        <v>0.51</v>
      </c>
      <c r="AB336" s="313" t="e">
        <f t="shared" si="65"/>
        <v>#VALUE!</v>
      </c>
    </row>
    <row r="337" spans="1:28">
      <c r="A337" s="88" t="s">
        <v>634</v>
      </c>
      <c r="B337">
        <f>B334</f>
        <v>3.5714285714285712E-2</v>
      </c>
      <c r="C337" t="s">
        <v>18</v>
      </c>
      <c r="D337" t="s">
        <v>40</v>
      </c>
      <c r="E337" s="313" t="s">
        <v>456</v>
      </c>
      <c r="F337" t="s">
        <v>59</v>
      </c>
      <c r="G337" t="s">
        <v>33</v>
      </c>
      <c r="H337">
        <v>0</v>
      </c>
      <c r="I337">
        <f t="shared" si="67"/>
        <v>3.5714285714285712E-2</v>
      </c>
      <c r="J337" s="313" t="s">
        <v>31</v>
      </c>
      <c r="K337" s="313" t="s">
        <v>31</v>
      </c>
      <c r="L337" s="313" t="s">
        <v>31</v>
      </c>
      <c r="M337" s="313" t="s">
        <v>31</v>
      </c>
      <c r="N337" t="s">
        <v>642</v>
      </c>
      <c r="O337">
        <f>10/50</f>
        <v>0.2</v>
      </c>
      <c r="P337">
        <v>1</v>
      </c>
      <c r="Q337">
        <v>8</v>
      </c>
      <c r="R337" s="339">
        <f t="shared" si="66"/>
        <v>1.6</v>
      </c>
      <c r="AB337" s="313" t="e">
        <f t="shared" si="65"/>
        <v>#VALUE!</v>
      </c>
    </row>
    <row r="338" spans="1:28" s="70" customFormat="1">
      <c r="A338" s="309" t="s">
        <v>5</v>
      </c>
      <c r="B338" s="123" t="str">
        <f>A348</f>
        <v>Production of Intercooler / humidifier</v>
      </c>
      <c r="C338" s="69"/>
      <c r="AB338" s="313">
        <f t="shared" si="65"/>
        <v>0</v>
      </c>
    </row>
    <row r="339" spans="1:28">
      <c r="A339" s="71" t="s">
        <v>7</v>
      </c>
      <c r="B339" t="s">
        <v>456</v>
      </c>
      <c r="C339" s="72"/>
      <c r="AB339" s="313">
        <f t="shared" si="65"/>
        <v>0</v>
      </c>
    </row>
    <row r="340" spans="1:28">
      <c r="A340" s="71" t="s">
        <v>9</v>
      </c>
      <c r="B340" s="310" t="s">
        <v>643</v>
      </c>
      <c r="C340" s="72"/>
      <c r="AB340" s="313">
        <f t="shared" si="65"/>
        <v>0</v>
      </c>
    </row>
    <row r="341" spans="1:28" ht="50.25" customHeight="1">
      <c r="A341" s="71" t="s">
        <v>11</v>
      </c>
      <c r="B341" s="320" t="s">
        <v>644</v>
      </c>
      <c r="AB341" s="313">
        <f t="shared" si="65"/>
        <v>0</v>
      </c>
    </row>
    <row r="342" spans="1:28">
      <c r="A342" s="71" t="s">
        <v>13</v>
      </c>
      <c r="B342" t="s">
        <v>59</v>
      </c>
      <c r="AB342" s="313">
        <f t="shared" si="65"/>
        <v>0</v>
      </c>
    </row>
    <row r="343" spans="1:28">
      <c r="A343" s="71" t="s">
        <v>15</v>
      </c>
      <c r="B343">
        <f>B348</f>
        <v>1</v>
      </c>
      <c r="AB343" s="313">
        <f t="shared" si="65"/>
        <v>0</v>
      </c>
    </row>
    <row r="344" spans="1:28">
      <c r="A344" s="71" t="s">
        <v>16</v>
      </c>
      <c r="B344" t="s">
        <v>17</v>
      </c>
      <c r="AB344" s="313">
        <f t="shared" si="65"/>
        <v>0</v>
      </c>
    </row>
    <row r="345" spans="1:28">
      <c r="A345" s="71" t="s">
        <v>18</v>
      </c>
      <c r="B345" t="str">
        <f>C348</f>
        <v>unit</v>
      </c>
      <c r="AB345" s="313">
        <f t="shared" si="65"/>
        <v>0</v>
      </c>
    </row>
    <row r="346" spans="1:28">
      <c r="A346" s="311" t="s">
        <v>19</v>
      </c>
      <c r="AB346" s="313">
        <f t="shared" si="65"/>
        <v>0</v>
      </c>
    </row>
    <row r="347" spans="1:28">
      <c r="A347" s="311" t="s">
        <v>20</v>
      </c>
      <c r="B347" s="131" t="s">
        <v>21</v>
      </c>
      <c r="C347" s="131" t="s">
        <v>18</v>
      </c>
      <c r="D347" s="131" t="s">
        <v>22</v>
      </c>
      <c r="E347" s="131" t="s">
        <v>7</v>
      </c>
      <c r="F347" s="131" t="s">
        <v>13</v>
      </c>
      <c r="G347" s="131" t="s">
        <v>16</v>
      </c>
      <c r="H347" s="131" t="s">
        <v>23</v>
      </c>
      <c r="I347" s="336" t="s">
        <v>24</v>
      </c>
      <c r="J347" s="336" t="s">
        <v>25</v>
      </c>
      <c r="K347" s="336" t="s">
        <v>26</v>
      </c>
      <c r="L347" s="336" t="s">
        <v>27</v>
      </c>
      <c r="M347" s="336" t="s">
        <v>28</v>
      </c>
      <c r="AB347" s="313" t="e">
        <f t="shared" si="65"/>
        <v>#VALUE!</v>
      </c>
    </row>
    <row r="348" spans="1:28" s="313" customFormat="1">
      <c r="A348" s="312" t="str">
        <f>A335</f>
        <v>Production of Intercooler / humidifier</v>
      </c>
      <c r="B348" s="313">
        <v>1</v>
      </c>
      <c r="C348" t="s">
        <v>18</v>
      </c>
      <c r="D348" s="313" t="s">
        <v>2</v>
      </c>
      <c r="E348" s="313" t="s">
        <v>456</v>
      </c>
      <c r="F348" s="313" t="s">
        <v>59</v>
      </c>
      <c r="G348" s="313" t="s">
        <v>30</v>
      </c>
      <c r="H348" s="313">
        <v>1</v>
      </c>
      <c r="I348" s="313">
        <v>1</v>
      </c>
      <c r="J348" s="313" t="s">
        <v>31</v>
      </c>
      <c r="K348" s="313" t="s">
        <v>31</v>
      </c>
      <c r="L348" s="313" t="s">
        <v>31</v>
      </c>
      <c r="M348" s="313" t="s">
        <v>31</v>
      </c>
      <c r="O348" s="314" t="s">
        <v>464</v>
      </c>
      <c r="P348" s="315" t="s">
        <v>465</v>
      </c>
      <c r="Q348" s="315" t="s">
        <v>21</v>
      </c>
      <c r="R348" s="316" t="s">
        <v>466</v>
      </c>
      <c r="T348" s="315" t="s">
        <v>467</v>
      </c>
      <c r="W348" s="313" t="s">
        <v>535</v>
      </c>
      <c r="AB348" s="313" t="e">
        <f t="shared" si="65"/>
        <v>#VALUE!</v>
      </c>
    </row>
    <row r="349" spans="1:28">
      <c r="A349" s="88" t="s">
        <v>604</v>
      </c>
      <c r="B349">
        <f>R349</f>
        <v>8</v>
      </c>
      <c r="C349" t="s">
        <v>37</v>
      </c>
      <c r="D349" t="s">
        <v>40</v>
      </c>
      <c r="E349" t="s">
        <v>456</v>
      </c>
      <c r="F349" t="s">
        <v>59</v>
      </c>
      <c r="G349" t="s">
        <v>33</v>
      </c>
      <c r="H349">
        <v>0</v>
      </c>
      <c r="I349">
        <f>B349</f>
        <v>8</v>
      </c>
      <c r="J349" s="313" t="s">
        <v>31</v>
      </c>
      <c r="K349" s="313" t="s">
        <v>31</v>
      </c>
      <c r="L349" s="313" t="s">
        <v>31</v>
      </c>
      <c r="M349" s="313" t="s">
        <v>31</v>
      </c>
      <c r="O349">
        <v>1</v>
      </c>
      <c r="P349">
        <v>1</v>
      </c>
      <c r="Q349">
        <v>8</v>
      </c>
      <c r="R349" s="318">
        <f t="shared" ref="R349:R350" si="68">(Q349/P349)*O349</f>
        <v>8</v>
      </c>
      <c r="T349" s="333"/>
      <c r="W349" s="338"/>
      <c r="X349" s="334"/>
      <c r="AB349" s="313" t="e">
        <f t="shared" si="65"/>
        <v>#VALUE!</v>
      </c>
    </row>
    <row r="350" spans="1:28">
      <c r="A350" s="88" t="s">
        <v>645</v>
      </c>
      <c r="B350">
        <f>R350</f>
        <v>8</v>
      </c>
      <c r="C350" t="s">
        <v>37</v>
      </c>
      <c r="D350" t="s">
        <v>40</v>
      </c>
      <c r="E350" t="s">
        <v>456</v>
      </c>
      <c r="F350" t="s">
        <v>59</v>
      </c>
      <c r="G350" t="s">
        <v>33</v>
      </c>
      <c r="H350">
        <v>0</v>
      </c>
      <c r="I350">
        <f>B350</f>
        <v>8</v>
      </c>
      <c r="J350" s="313" t="s">
        <v>31</v>
      </c>
      <c r="K350" s="313" t="s">
        <v>31</v>
      </c>
      <c r="L350" s="313" t="s">
        <v>31</v>
      </c>
      <c r="M350" s="313" t="s">
        <v>31</v>
      </c>
      <c r="O350">
        <v>1</v>
      </c>
      <c r="P350">
        <v>1</v>
      </c>
      <c r="Q350">
        <v>8</v>
      </c>
      <c r="R350" s="318">
        <f t="shared" si="68"/>
        <v>8</v>
      </c>
      <c r="AB350" s="313" t="e">
        <f t="shared" si="65"/>
        <v>#VALUE!</v>
      </c>
    </row>
    <row r="351" spans="1:28" s="70" customFormat="1">
      <c r="A351" s="309" t="s">
        <v>5</v>
      </c>
      <c r="B351" s="123" t="str">
        <f>A361</f>
        <v>Production of Air Filter</v>
      </c>
      <c r="C351" s="69"/>
      <c r="AB351" s="313">
        <f t="shared" si="65"/>
        <v>0</v>
      </c>
    </row>
    <row r="352" spans="1:28">
      <c r="A352" s="71" t="s">
        <v>7</v>
      </c>
      <c r="B352" t="s">
        <v>456</v>
      </c>
      <c r="C352" s="72"/>
      <c r="AB352" s="313">
        <f t="shared" si="65"/>
        <v>0</v>
      </c>
    </row>
    <row r="353" spans="1:28">
      <c r="A353" s="71" t="s">
        <v>9</v>
      </c>
      <c r="B353" s="310" t="s">
        <v>646</v>
      </c>
      <c r="C353" s="72"/>
      <c r="AB353" s="313">
        <f t="shared" si="65"/>
        <v>0</v>
      </c>
    </row>
    <row r="354" spans="1:28" ht="50.25" customHeight="1">
      <c r="A354" s="71" t="s">
        <v>11</v>
      </c>
      <c r="B354" s="320" t="s">
        <v>647</v>
      </c>
      <c r="AB354" s="313">
        <f t="shared" si="65"/>
        <v>0</v>
      </c>
    </row>
    <row r="355" spans="1:28">
      <c r="A355" s="71" t="s">
        <v>13</v>
      </c>
      <c r="B355" t="s">
        <v>59</v>
      </c>
      <c r="AB355" s="313">
        <f t="shared" si="65"/>
        <v>0</v>
      </c>
    </row>
    <row r="356" spans="1:28">
      <c r="A356" s="71" t="s">
        <v>15</v>
      </c>
      <c r="B356">
        <f>B361</f>
        <v>1</v>
      </c>
      <c r="AB356" s="313">
        <f t="shared" si="65"/>
        <v>0</v>
      </c>
    </row>
    <row r="357" spans="1:28">
      <c r="A357" s="71" t="s">
        <v>16</v>
      </c>
      <c r="B357" t="s">
        <v>17</v>
      </c>
      <c r="AB357" s="313">
        <f t="shared" si="65"/>
        <v>0</v>
      </c>
    </row>
    <row r="358" spans="1:28">
      <c r="A358" s="71" t="s">
        <v>18</v>
      </c>
      <c r="B358" t="str">
        <f>C361</f>
        <v>unit</v>
      </c>
      <c r="AB358" s="313">
        <f t="shared" si="65"/>
        <v>0</v>
      </c>
    </row>
    <row r="359" spans="1:28">
      <c r="A359" s="311" t="s">
        <v>19</v>
      </c>
      <c r="AB359" s="313">
        <f t="shared" si="65"/>
        <v>0</v>
      </c>
    </row>
    <row r="360" spans="1:28">
      <c r="A360" s="311" t="s">
        <v>20</v>
      </c>
      <c r="B360" s="131" t="s">
        <v>21</v>
      </c>
      <c r="C360" s="131" t="s">
        <v>18</v>
      </c>
      <c r="D360" s="131" t="s">
        <v>22</v>
      </c>
      <c r="E360" s="131" t="s">
        <v>7</v>
      </c>
      <c r="F360" s="131" t="s">
        <v>13</v>
      </c>
      <c r="G360" s="131" t="s">
        <v>16</v>
      </c>
      <c r="H360" s="131" t="s">
        <v>23</v>
      </c>
      <c r="I360" s="336" t="s">
        <v>24</v>
      </c>
      <c r="J360" s="336" t="s">
        <v>25</v>
      </c>
      <c r="K360" s="336" t="s">
        <v>26</v>
      </c>
      <c r="L360" s="336" t="s">
        <v>27</v>
      </c>
      <c r="M360" s="336" t="s">
        <v>28</v>
      </c>
      <c r="AB360" s="313" t="e">
        <f t="shared" si="65"/>
        <v>#VALUE!</v>
      </c>
    </row>
    <row r="361" spans="1:28" s="313" customFormat="1">
      <c r="A361" s="312" t="str">
        <f>A336</f>
        <v>Production of Air Filter</v>
      </c>
      <c r="B361" s="313">
        <v>1</v>
      </c>
      <c r="C361" t="s">
        <v>18</v>
      </c>
      <c r="D361" s="313" t="s">
        <v>2</v>
      </c>
      <c r="E361" s="313" t="s">
        <v>456</v>
      </c>
      <c r="F361" s="313" t="s">
        <v>59</v>
      </c>
      <c r="G361" s="313" t="s">
        <v>30</v>
      </c>
      <c r="H361" s="313">
        <v>1</v>
      </c>
      <c r="I361" s="313">
        <v>1</v>
      </c>
      <c r="J361" s="313" t="s">
        <v>31</v>
      </c>
      <c r="K361" s="313" t="s">
        <v>31</v>
      </c>
      <c r="L361" s="313" t="s">
        <v>31</v>
      </c>
      <c r="M361" s="313" t="s">
        <v>31</v>
      </c>
      <c r="O361" s="314" t="s">
        <v>464</v>
      </c>
      <c r="P361" s="315" t="s">
        <v>465</v>
      </c>
      <c r="Q361" s="315" t="s">
        <v>21</v>
      </c>
      <c r="R361" s="316" t="s">
        <v>466</v>
      </c>
      <c r="T361" s="315" t="s">
        <v>467</v>
      </c>
      <c r="W361" s="313" t="s">
        <v>535</v>
      </c>
      <c r="AB361" s="313" t="e">
        <f t="shared" si="65"/>
        <v>#VALUE!</v>
      </c>
    </row>
    <row r="362" spans="1:28">
      <c r="A362" s="88" t="s">
        <v>648</v>
      </c>
      <c r="B362">
        <f>R362</f>
        <v>0.52631578947368418</v>
      </c>
      <c r="C362" t="s">
        <v>37</v>
      </c>
      <c r="D362" t="s">
        <v>40</v>
      </c>
      <c r="E362" s="313" t="s">
        <v>456</v>
      </c>
      <c r="F362" t="s">
        <v>59</v>
      </c>
      <c r="G362" t="s">
        <v>33</v>
      </c>
      <c r="H362">
        <v>5</v>
      </c>
      <c r="I362">
        <f>B362</f>
        <v>0.52631578947368418</v>
      </c>
      <c r="J362" t="s">
        <v>31</v>
      </c>
      <c r="K362" t="s">
        <v>31</v>
      </c>
      <c r="L362">
        <f>0.5*B362</f>
        <v>0.26315789473684209</v>
      </c>
      <c r="M362">
        <f>1.5*B362</f>
        <v>0.78947368421052633</v>
      </c>
      <c r="O362">
        <f>10/20</f>
        <v>0.5</v>
      </c>
      <c r="P362">
        <v>0.95</v>
      </c>
      <c r="Q362" s="340">
        <v>1</v>
      </c>
      <c r="R362" s="318">
        <f t="shared" ref="R362:R365" si="69">(Q362/P362)*O362</f>
        <v>0.52631578947368418</v>
      </c>
      <c r="T362" t="s">
        <v>649</v>
      </c>
      <c r="AB362" s="313">
        <f t="shared" si="65"/>
        <v>0.52631578947368429</v>
      </c>
    </row>
    <row r="363" spans="1:28">
      <c r="A363" s="88" t="s">
        <v>121</v>
      </c>
      <c r="B363">
        <f t="shared" ref="B363:B365" si="70">R363</f>
        <v>0.22222222222222224</v>
      </c>
      <c r="C363" t="s">
        <v>37</v>
      </c>
      <c r="D363" t="s">
        <v>40</v>
      </c>
      <c r="E363" s="313" t="s">
        <v>456</v>
      </c>
      <c r="F363" t="s">
        <v>59</v>
      </c>
      <c r="G363" t="s">
        <v>33</v>
      </c>
      <c r="H363">
        <v>5</v>
      </c>
      <c r="I363">
        <f t="shared" ref="I363:I365" si="71">B363</f>
        <v>0.22222222222222224</v>
      </c>
      <c r="J363" t="s">
        <v>31</v>
      </c>
      <c r="K363" t="s">
        <v>31</v>
      </c>
      <c r="L363">
        <f t="shared" ref="L363:L365" si="72">0.5*B363</f>
        <v>0.11111111111111112</v>
      </c>
      <c r="M363">
        <f t="shared" ref="M363:M365" si="73">1.5*B363</f>
        <v>0.33333333333333337</v>
      </c>
      <c r="O363">
        <f>10/5</f>
        <v>2</v>
      </c>
      <c r="P363">
        <v>0.9</v>
      </c>
      <c r="Q363" s="340">
        <v>0.1</v>
      </c>
      <c r="R363" s="318">
        <f t="shared" si="69"/>
        <v>0.22222222222222224</v>
      </c>
      <c r="T363" t="s">
        <v>649</v>
      </c>
      <c r="AB363" s="313">
        <f t="shared" si="65"/>
        <v>0.22222222222222227</v>
      </c>
    </row>
    <row r="364" spans="1:28">
      <c r="A364" s="88" t="s">
        <v>650</v>
      </c>
      <c r="B364">
        <f t="shared" si="70"/>
        <v>2.2222222222222223E-2</v>
      </c>
      <c r="C364" t="s">
        <v>37</v>
      </c>
      <c r="D364" t="s">
        <v>40</v>
      </c>
      <c r="E364" s="313" t="s">
        <v>456</v>
      </c>
      <c r="F364" t="s">
        <v>59</v>
      </c>
      <c r="G364" t="s">
        <v>33</v>
      </c>
      <c r="H364">
        <v>5</v>
      </c>
      <c r="I364">
        <f t="shared" si="71"/>
        <v>2.2222222222222223E-2</v>
      </c>
      <c r="J364" t="s">
        <v>31</v>
      </c>
      <c r="K364" t="s">
        <v>31</v>
      </c>
      <c r="L364">
        <f t="shared" si="72"/>
        <v>1.1111111111111112E-2</v>
      </c>
      <c r="M364">
        <f t="shared" si="73"/>
        <v>3.3333333333333333E-2</v>
      </c>
      <c r="O364">
        <f t="shared" ref="O364:O365" si="74">10/5</f>
        <v>2</v>
      </c>
      <c r="P364">
        <v>0.9</v>
      </c>
      <c r="Q364" s="340">
        <v>0.01</v>
      </c>
      <c r="R364" s="318">
        <f t="shared" si="69"/>
        <v>2.2222222222222223E-2</v>
      </c>
      <c r="T364" t="s">
        <v>649</v>
      </c>
      <c r="AB364" s="313">
        <f t="shared" si="65"/>
        <v>2.222222222222222E-2</v>
      </c>
    </row>
    <row r="365" spans="1:28">
      <c r="A365" s="88" t="s">
        <v>121</v>
      </c>
      <c r="B365">
        <f t="shared" si="70"/>
        <v>2.2222222222222223E-2</v>
      </c>
      <c r="C365" t="s">
        <v>37</v>
      </c>
      <c r="D365" t="s">
        <v>40</v>
      </c>
      <c r="E365" s="313" t="s">
        <v>456</v>
      </c>
      <c r="F365" t="s">
        <v>59</v>
      </c>
      <c r="G365" t="s">
        <v>33</v>
      </c>
      <c r="H365">
        <v>5</v>
      </c>
      <c r="I365">
        <f t="shared" si="71"/>
        <v>2.2222222222222223E-2</v>
      </c>
      <c r="J365" t="s">
        <v>31</v>
      </c>
      <c r="K365" t="s">
        <v>31</v>
      </c>
      <c r="L365">
        <f t="shared" si="72"/>
        <v>1.1111111111111112E-2</v>
      </c>
      <c r="M365">
        <f t="shared" si="73"/>
        <v>3.3333333333333333E-2</v>
      </c>
      <c r="O365">
        <f t="shared" si="74"/>
        <v>2</v>
      </c>
      <c r="P365">
        <v>0.9</v>
      </c>
      <c r="Q365" s="340">
        <v>0.01</v>
      </c>
      <c r="R365" s="318">
        <f t="shared" si="69"/>
        <v>2.2222222222222223E-2</v>
      </c>
      <c r="T365" t="s">
        <v>649</v>
      </c>
      <c r="AB365" s="313">
        <f t="shared" si="65"/>
        <v>2.222222222222222E-2</v>
      </c>
    </row>
    <row r="366" spans="1:28" s="70" customFormat="1">
      <c r="A366" s="309" t="s">
        <v>5</v>
      </c>
      <c r="B366" s="123" t="str">
        <f>A376</f>
        <v>production of cooling liquid pump</v>
      </c>
      <c r="C366" s="69"/>
      <c r="AB366" s="313">
        <f t="shared" si="65"/>
        <v>0</v>
      </c>
    </row>
    <row r="367" spans="1:28">
      <c r="A367" s="71" t="s">
        <v>7</v>
      </c>
      <c r="B367" t="s">
        <v>456</v>
      </c>
      <c r="C367" s="72"/>
      <c r="AB367" s="313">
        <f t="shared" si="65"/>
        <v>0</v>
      </c>
    </row>
    <row r="368" spans="1:28">
      <c r="A368" s="71" t="s">
        <v>9</v>
      </c>
      <c r="B368" s="310" t="s">
        <v>651</v>
      </c>
      <c r="C368" s="72"/>
      <c r="AB368" s="313">
        <f t="shared" si="65"/>
        <v>0</v>
      </c>
    </row>
    <row r="369" spans="1:28" ht="50.25" customHeight="1">
      <c r="A369" s="71" t="s">
        <v>11</v>
      </c>
      <c r="B369" s="320" t="s">
        <v>652</v>
      </c>
      <c r="AB369" s="313">
        <f t="shared" si="65"/>
        <v>0</v>
      </c>
    </row>
    <row r="370" spans="1:28">
      <c r="A370" s="71" t="s">
        <v>13</v>
      </c>
      <c r="B370" t="s">
        <v>59</v>
      </c>
      <c r="AB370" s="313">
        <f t="shared" si="65"/>
        <v>0</v>
      </c>
    </row>
    <row r="371" spans="1:28">
      <c r="A371" s="71" t="s">
        <v>15</v>
      </c>
      <c r="B371">
        <f>B376</f>
        <v>1</v>
      </c>
      <c r="AB371" s="313">
        <f t="shared" si="65"/>
        <v>0</v>
      </c>
    </row>
    <row r="372" spans="1:28">
      <c r="A372" s="71" t="s">
        <v>16</v>
      </c>
      <c r="B372" t="s">
        <v>17</v>
      </c>
      <c r="AB372" s="313">
        <f t="shared" si="65"/>
        <v>0</v>
      </c>
    </row>
    <row r="373" spans="1:28">
      <c r="A373" s="71" t="s">
        <v>18</v>
      </c>
      <c r="B373" t="str">
        <f>C376</f>
        <v>unit</v>
      </c>
      <c r="AB373" s="313">
        <f t="shared" si="65"/>
        <v>0</v>
      </c>
    </row>
    <row r="374" spans="1:28">
      <c r="A374" s="311" t="s">
        <v>19</v>
      </c>
      <c r="AB374" s="313">
        <f t="shared" si="65"/>
        <v>0</v>
      </c>
    </row>
    <row r="375" spans="1:28">
      <c r="A375" s="311" t="s">
        <v>20</v>
      </c>
      <c r="B375" s="131" t="s">
        <v>21</v>
      </c>
      <c r="C375" s="131" t="s">
        <v>18</v>
      </c>
      <c r="D375" s="131" t="s">
        <v>22</v>
      </c>
      <c r="E375" s="131" t="s">
        <v>7</v>
      </c>
      <c r="F375" s="131" t="s">
        <v>13</v>
      </c>
      <c r="G375" s="131" t="s">
        <v>16</v>
      </c>
      <c r="H375" s="131" t="s">
        <v>23</v>
      </c>
      <c r="I375" s="336" t="s">
        <v>24</v>
      </c>
      <c r="J375" s="336" t="s">
        <v>25</v>
      </c>
      <c r="K375" s="336" t="s">
        <v>26</v>
      </c>
      <c r="L375" s="336" t="s">
        <v>27</v>
      </c>
      <c r="M375" s="336" t="s">
        <v>28</v>
      </c>
      <c r="AB375" s="313" t="e">
        <f t="shared" si="65"/>
        <v>#VALUE!</v>
      </c>
    </row>
    <row r="376" spans="1:28" s="313" customFormat="1">
      <c r="A376" s="312" t="str">
        <f>A28</f>
        <v>production of cooling liquid pump</v>
      </c>
      <c r="B376" s="313">
        <v>1</v>
      </c>
      <c r="C376" t="s">
        <v>18</v>
      </c>
      <c r="D376" s="313" t="s">
        <v>2</v>
      </c>
      <c r="E376" s="313" t="s">
        <v>456</v>
      </c>
      <c r="F376" s="313" t="s">
        <v>59</v>
      </c>
      <c r="G376" s="313" t="s">
        <v>30</v>
      </c>
      <c r="H376" s="313">
        <v>1</v>
      </c>
      <c r="I376" s="313">
        <v>1</v>
      </c>
      <c r="J376" s="313" t="s">
        <v>31</v>
      </c>
      <c r="K376" s="313" t="s">
        <v>31</v>
      </c>
      <c r="L376" s="313" t="s">
        <v>31</v>
      </c>
      <c r="M376" s="313" t="s">
        <v>31</v>
      </c>
      <c r="O376" s="314" t="s">
        <v>464</v>
      </c>
      <c r="P376" s="315" t="s">
        <v>465</v>
      </c>
      <c r="Q376" s="315" t="s">
        <v>21</v>
      </c>
      <c r="R376" s="316" t="s">
        <v>466</v>
      </c>
      <c r="T376" s="315" t="s">
        <v>467</v>
      </c>
      <c r="W376" s="313" t="s">
        <v>535</v>
      </c>
      <c r="AB376" s="313" t="e">
        <f t="shared" si="65"/>
        <v>#VALUE!</v>
      </c>
    </row>
    <row r="377" spans="1:28">
      <c r="A377" s="88" t="s">
        <v>604</v>
      </c>
      <c r="B377">
        <f>R377</f>
        <v>1.5306122448979591</v>
      </c>
      <c r="C377" t="s">
        <v>37</v>
      </c>
      <c r="D377" t="s">
        <v>40</v>
      </c>
      <c r="E377" t="s">
        <v>456</v>
      </c>
      <c r="F377" t="s">
        <v>59</v>
      </c>
      <c r="G377" t="s">
        <v>33</v>
      </c>
      <c r="H377">
        <v>0</v>
      </c>
      <c r="I377">
        <f>B377</f>
        <v>1.5306122448979591</v>
      </c>
      <c r="J377" s="313" t="s">
        <v>31</v>
      </c>
      <c r="K377" s="313" t="s">
        <v>31</v>
      </c>
      <c r="L377">
        <v>0</v>
      </c>
      <c r="M377">
        <f t="shared" ref="M377" si="75">2*B377</f>
        <v>3.0612244897959182</v>
      </c>
      <c r="O377">
        <v>0.5</v>
      </c>
      <c r="P377">
        <v>0.98</v>
      </c>
      <c r="Q377">
        <v>3</v>
      </c>
      <c r="R377" s="318">
        <f t="shared" ref="R377:R380" si="76">(Q377/P377)*O377</f>
        <v>1.5306122448979591</v>
      </c>
      <c r="T377" t="s">
        <v>628</v>
      </c>
      <c r="W377" s="338"/>
      <c r="X377" s="334"/>
      <c r="AB377" s="313">
        <f t="shared" si="65"/>
        <v>3.0612244897959182</v>
      </c>
    </row>
    <row r="378" spans="1:28">
      <c r="A378" s="88" t="s">
        <v>653</v>
      </c>
      <c r="B378">
        <f t="shared" ref="B378:B380" si="77">R378</f>
        <v>0.51020408163265307</v>
      </c>
      <c r="C378" t="s">
        <v>37</v>
      </c>
      <c r="D378" t="s">
        <v>40</v>
      </c>
      <c r="E378" t="s">
        <v>456</v>
      </c>
      <c r="F378" t="s">
        <v>59</v>
      </c>
      <c r="G378" t="s">
        <v>33</v>
      </c>
      <c r="H378">
        <v>5</v>
      </c>
      <c r="I378">
        <f t="shared" ref="I378:I380" si="78">B378</f>
        <v>0.51020408163265307</v>
      </c>
      <c r="J378" t="s">
        <v>31</v>
      </c>
      <c r="K378" t="s">
        <v>31</v>
      </c>
      <c r="L378">
        <v>0</v>
      </c>
      <c r="M378">
        <f>2*B378</f>
        <v>1.0204081632653061</v>
      </c>
      <c r="O378">
        <f t="shared" ref="O378:O380" si="79">10/20</f>
        <v>0.5</v>
      </c>
      <c r="P378">
        <v>0.98</v>
      </c>
      <c r="Q378">
        <v>1</v>
      </c>
      <c r="R378" s="339">
        <f t="shared" si="76"/>
        <v>0.51020408163265307</v>
      </c>
      <c r="T378" t="s">
        <v>628</v>
      </c>
      <c r="AB378" s="313">
        <f t="shared" si="65"/>
        <v>1.0204081632653061</v>
      </c>
    </row>
    <row r="379" spans="1:28">
      <c r="A379" s="88" t="s">
        <v>121</v>
      </c>
      <c r="B379">
        <f>R379</f>
        <v>0.25510204081632654</v>
      </c>
      <c r="C379" t="s">
        <v>37</v>
      </c>
      <c r="D379" t="s">
        <v>40</v>
      </c>
      <c r="E379" t="s">
        <v>456</v>
      </c>
      <c r="F379" t="s">
        <v>59</v>
      </c>
      <c r="G379" t="s">
        <v>33</v>
      </c>
      <c r="H379">
        <v>5</v>
      </c>
      <c r="I379">
        <f t="shared" si="78"/>
        <v>0.25510204081632654</v>
      </c>
      <c r="J379" s="313" t="s">
        <v>31</v>
      </c>
      <c r="K379" s="313" t="s">
        <v>31</v>
      </c>
      <c r="L379">
        <v>0</v>
      </c>
      <c r="M379">
        <f t="shared" ref="M379:M380" si="80">2*B379</f>
        <v>0.51020408163265307</v>
      </c>
      <c r="O379">
        <f t="shared" si="79"/>
        <v>0.5</v>
      </c>
      <c r="P379">
        <v>0.98</v>
      </c>
      <c r="Q379" s="340">
        <v>0.5</v>
      </c>
      <c r="R379" s="318">
        <f t="shared" si="76"/>
        <v>0.25510204081632654</v>
      </c>
      <c r="T379" t="s">
        <v>628</v>
      </c>
      <c r="AB379" s="313">
        <f t="shared" si="65"/>
        <v>0.51020408163265307</v>
      </c>
    </row>
    <row r="380" spans="1:28">
      <c r="A380" s="88" t="s">
        <v>93</v>
      </c>
      <c r="B380">
        <f t="shared" si="77"/>
        <v>0.25510204081632654</v>
      </c>
      <c r="C380" t="s">
        <v>37</v>
      </c>
      <c r="D380" t="s">
        <v>40</v>
      </c>
      <c r="E380" t="s">
        <v>456</v>
      </c>
      <c r="F380" t="s">
        <v>82</v>
      </c>
      <c r="G380" t="s">
        <v>33</v>
      </c>
      <c r="H380">
        <v>5</v>
      </c>
      <c r="I380">
        <f t="shared" si="78"/>
        <v>0.25510204081632654</v>
      </c>
      <c r="J380" s="313" t="s">
        <v>31</v>
      </c>
      <c r="K380" s="313" t="s">
        <v>31</v>
      </c>
      <c r="L380">
        <v>0</v>
      </c>
      <c r="M380">
        <f t="shared" si="80"/>
        <v>0.51020408163265307</v>
      </c>
      <c r="O380">
        <f t="shared" si="79"/>
        <v>0.5</v>
      </c>
      <c r="P380">
        <v>0.98</v>
      </c>
      <c r="Q380" s="227">
        <v>0.5</v>
      </c>
      <c r="R380" s="339">
        <f t="shared" si="76"/>
        <v>0.25510204081632654</v>
      </c>
      <c r="T380" t="s">
        <v>628</v>
      </c>
      <c r="AB380" s="313">
        <f t="shared" si="65"/>
        <v>0.51020408163265307</v>
      </c>
    </row>
    <row r="381" spans="1:28" s="70" customFormat="1">
      <c r="A381" s="309" t="s">
        <v>5</v>
      </c>
      <c r="B381" s="123" t="str">
        <f>A391</f>
        <v>production of hydrogen recirculation pump</v>
      </c>
      <c r="C381" s="69"/>
      <c r="AB381" s="313">
        <f t="shared" si="65"/>
        <v>0</v>
      </c>
    </row>
    <row r="382" spans="1:28">
      <c r="A382" s="71" t="s">
        <v>7</v>
      </c>
      <c r="B382" t="s">
        <v>456</v>
      </c>
      <c r="C382" s="72"/>
      <c r="AB382" s="313">
        <f t="shared" si="65"/>
        <v>0</v>
      </c>
    </row>
    <row r="383" spans="1:28">
      <c r="A383" s="71" t="s">
        <v>9</v>
      </c>
      <c r="B383" s="310" t="s">
        <v>654</v>
      </c>
      <c r="C383" s="72"/>
      <c r="AB383" s="313">
        <f t="shared" si="65"/>
        <v>0</v>
      </c>
    </row>
    <row r="384" spans="1:28" ht="50.25" customHeight="1">
      <c r="A384" s="71" t="s">
        <v>11</v>
      </c>
      <c r="B384" s="320" t="s">
        <v>655</v>
      </c>
      <c r="AB384" s="313">
        <f t="shared" si="65"/>
        <v>0</v>
      </c>
    </row>
    <row r="385" spans="1:28">
      <c r="A385" s="71" t="s">
        <v>13</v>
      </c>
      <c r="B385" t="s">
        <v>59</v>
      </c>
      <c r="AB385" s="313">
        <f t="shared" si="65"/>
        <v>0</v>
      </c>
    </row>
    <row r="386" spans="1:28">
      <c r="A386" s="71" t="s">
        <v>15</v>
      </c>
      <c r="B386">
        <f>B391</f>
        <v>1</v>
      </c>
      <c r="AB386" s="313">
        <f t="shared" si="65"/>
        <v>0</v>
      </c>
    </row>
    <row r="387" spans="1:28">
      <c r="A387" s="71" t="s">
        <v>16</v>
      </c>
      <c r="B387" t="s">
        <v>17</v>
      </c>
      <c r="AB387" s="313">
        <f t="shared" si="65"/>
        <v>0</v>
      </c>
    </row>
    <row r="388" spans="1:28">
      <c r="A388" s="71" t="s">
        <v>18</v>
      </c>
      <c r="B388" t="str">
        <f>C391</f>
        <v>unit</v>
      </c>
      <c r="AB388" s="313">
        <f t="shared" si="65"/>
        <v>0</v>
      </c>
    </row>
    <row r="389" spans="1:28">
      <c r="A389" s="311" t="s">
        <v>19</v>
      </c>
      <c r="AB389" s="313">
        <f t="shared" si="65"/>
        <v>0</v>
      </c>
    </row>
    <row r="390" spans="1:28" ht="18.75" customHeight="1">
      <c r="A390" s="311" t="s">
        <v>20</v>
      </c>
      <c r="B390" s="131" t="s">
        <v>21</v>
      </c>
      <c r="C390" s="131" t="s">
        <v>18</v>
      </c>
      <c r="D390" s="131" t="s">
        <v>22</v>
      </c>
      <c r="E390" s="131" t="s">
        <v>7</v>
      </c>
      <c r="F390" s="131" t="s">
        <v>13</v>
      </c>
      <c r="G390" s="131" t="s">
        <v>16</v>
      </c>
      <c r="H390" s="131" t="s">
        <v>23</v>
      </c>
      <c r="I390" s="336" t="s">
        <v>24</v>
      </c>
      <c r="J390" s="336" t="s">
        <v>25</v>
      </c>
      <c r="K390" s="336" t="s">
        <v>26</v>
      </c>
      <c r="L390" s="336" t="s">
        <v>27</v>
      </c>
      <c r="M390" s="336" t="s">
        <v>28</v>
      </c>
      <c r="AB390" s="313" t="e">
        <f t="shared" si="65"/>
        <v>#VALUE!</v>
      </c>
    </row>
    <row r="391" spans="1:28" s="313" customFormat="1">
      <c r="A391" s="312" t="str">
        <f>A29</f>
        <v>production of hydrogen recirculation pump</v>
      </c>
      <c r="B391" s="313">
        <v>1</v>
      </c>
      <c r="C391" t="s">
        <v>18</v>
      </c>
      <c r="D391" s="313" t="s">
        <v>2</v>
      </c>
      <c r="E391" s="313" t="s">
        <v>456</v>
      </c>
      <c r="F391" s="313" t="s">
        <v>59</v>
      </c>
      <c r="G391" s="313" t="s">
        <v>30</v>
      </c>
      <c r="H391" s="313">
        <v>1</v>
      </c>
      <c r="I391" s="313">
        <v>1</v>
      </c>
      <c r="J391" s="313" t="s">
        <v>31</v>
      </c>
      <c r="K391" s="313" t="s">
        <v>31</v>
      </c>
      <c r="L391" s="313" t="s">
        <v>31</v>
      </c>
      <c r="M391" s="313" t="s">
        <v>31</v>
      </c>
      <c r="O391" s="314" t="s">
        <v>464</v>
      </c>
      <c r="P391" s="315" t="s">
        <v>465</v>
      </c>
      <c r="Q391" s="315" t="s">
        <v>21</v>
      </c>
      <c r="R391" s="316" t="s">
        <v>466</v>
      </c>
      <c r="T391" s="315" t="s">
        <v>467</v>
      </c>
      <c r="W391" s="313" t="s">
        <v>535</v>
      </c>
      <c r="AB391" s="313" t="e">
        <f t="shared" si="65"/>
        <v>#VALUE!</v>
      </c>
    </row>
    <row r="392" spans="1:28">
      <c r="A392" s="335" t="s">
        <v>656</v>
      </c>
      <c r="B392">
        <f t="shared" ref="B392:B393" si="81">R392</f>
        <v>4.3367346938775508</v>
      </c>
      <c r="C392" t="s">
        <v>37</v>
      </c>
      <c r="D392" t="s">
        <v>40</v>
      </c>
      <c r="E392" t="s">
        <v>456</v>
      </c>
      <c r="F392" t="s">
        <v>59</v>
      </c>
      <c r="G392" t="s">
        <v>33</v>
      </c>
      <c r="H392">
        <v>5</v>
      </c>
      <c r="I392">
        <f>B392</f>
        <v>4.3367346938775508</v>
      </c>
      <c r="J392" s="313" t="s">
        <v>31</v>
      </c>
      <c r="K392" s="313" t="s">
        <v>31</v>
      </c>
      <c r="L392">
        <f>0.5*B392</f>
        <v>2.1683673469387754</v>
      </c>
      <c r="M392">
        <f>1.5*B392</f>
        <v>6.5051020408163263</v>
      </c>
      <c r="O392">
        <f>10/20</f>
        <v>0.5</v>
      </c>
      <c r="P392">
        <v>0.98</v>
      </c>
      <c r="Q392" s="340">
        <v>8.5</v>
      </c>
      <c r="R392" s="318">
        <f t="shared" ref="R392:R393" si="82">(Q392/P392)*O392</f>
        <v>4.3367346938775508</v>
      </c>
      <c r="T392" t="s">
        <v>649</v>
      </c>
      <c r="AB392" s="313">
        <f t="shared" si="65"/>
        <v>4.3367346938775508</v>
      </c>
    </row>
    <row r="393" spans="1:28">
      <c r="A393" s="88" t="s">
        <v>653</v>
      </c>
      <c r="B393">
        <f t="shared" si="81"/>
        <v>0.76530612244897955</v>
      </c>
      <c r="C393" t="s">
        <v>37</v>
      </c>
      <c r="D393" t="s">
        <v>40</v>
      </c>
      <c r="E393" t="s">
        <v>456</v>
      </c>
      <c r="F393" t="s">
        <v>59</v>
      </c>
      <c r="G393" t="s">
        <v>33</v>
      </c>
      <c r="H393">
        <v>5</v>
      </c>
      <c r="I393">
        <f t="shared" ref="I393" si="83">B393</f>
        <v>0.76530612244897955</v>
      </c>
      <c r="J393" t="s">
        <v>31</v>
      </c>
      <c r="K393" t="s">
        <v>31</v>
      </c>
      <c r="L393">
        <f>0.5*B393</f>
        <v>0.38265306122448978</v>
      </c>
      <c r="M393">
        <f>1.5*B393</f>
        <v>1.1479591836734693</v>
      </c>
      <c r="O393">
        <f t="shared" ref="O393" si="84">10/20</f>
        <v>0.5</v>
      </c>
      <c r="P393">
        <v>0.98</v>
      </c>
      <c r="Q393" s="340">
        <v>1.5</v>
      </c>
      <c r="R393" s="339">
        <f t="shared" si="82"/>
        <v>0.76530612244897955</v>
      </c>
      <c r="T393" s="341" t="s">
        <v>649</v>
      </c>
      <c r="AB393" s="313">
        <f t="shared" si="65"/>
        <v>0.76530612244897944</v>
      </c>
    </row>
    <row r="394" spans="1:28" s="70" customFormat="1">
      <c r="A394" s="309" t="s">
        <v>5</v>
      </c>
      <c r="B394" s="123" t="str">
        <f>A404</f>
        <v xml:space="preserve">production of heat exchanger </v>
      </c>
      <c r="C394" s="69"/>
      <c r="AB394" s="313">
        <f t="shared" si="65"/>
        <v>0</v>
      </c>
    </row>
    <row r="395" spans="1:28">
      <c r="A395" s="71" t="s">
        <v>7</v>
      </c>
      <c r="B395" t="s">
        <v>456</v>
      </c>
      <c r="C395" s="72"/>
      <c r="AB395" s="313">
        <f t="shared" si="65"/>
        <v>0</v>
      </c>
    </row>
    <row r="396" spans="1:28">
      <c r="A396" s="71" t="s">
        <v>9</v>
      </c>
      <c r="B396" s="310" t="s">
        <v>657</v>
      </c>
      <c r="C396" s="72"/>
      <c r="AB396" s="313">
        <f t="shared" si="65"/>
        <v>0</v>
      </c>
    </row>
    <row r="397" spans="1:28" ht="50.25" customHeight="1">
      <c r="A397" s="71" t="s">
        <v>11</v>
      </c>
      <c r="B397" s="320" t="s">
        <v>658</v>
      </c>
      <c r="AB397" s="313">
        <f t="shared" ref="AB397:AB460" si="85">M397-L397</f>
        <v>0</v>
      </c>
    </row>
    <row r="398" spans="1:28">
      <c r="A398" s="71" t="s">
        <v>13</v>
      </c>
      <c r="B398" t="s">
        <v>59</v>
      </c>
      <c r="AB398" s="313">
        <f t="shared" si="85"/>
        <v>0</v>
      </c>
    </row>
    <row r="399" spans="1:28">
      <c r="A399" s="71" t="s">
        <v>15</v>
      </c>
      <c r="B399">
        <v>1</v>
      </c>
      <c r="AB399" s="313">
        <f t="shared" si="85"/>
        <v>0</v>
      </c>
    </row>
    <row r="400" spans="1:28">
      <c r="A400" s="71" t="s">
        <v>16</v>
      </c>
      <c r="B400" t="s">
        <v>17</v>
      </c>
      <c r="AB400" s="313">
        <f t="shared" si="85"/>
        <v>0</v>
      </c>
    </row>
    <row r="401" spans="1:28">
      <c r="A401" s="71" t="s">
        <v>18</v>
      </c>
      <c r="B401" t="s">
        <v>18</v>
      </c>
      <c r="AB401" s="313">
        <f t="shared" si="85"/>
        <v>0</v>
      </c>
    </row>
    <row r="402" spans="1:28">
      <c r="A402" s="311" t="s">
        <v>19</v>
      </c>
      <c r="AB402" s="313">
        <f t="shared" si="85"/>
        <v>0</v>
      </c>
    </row>
    <row r="403" spans="1:28" ht="18.75" customHeight="1">
      <c r="A403" s="311" t="s">
        <v>20</v>
      </c>
      <c r="B403" s="131" t="s">
        <v>21</v>
      </c>
      <c r="C403" s="131" t="s">
        <v>18</v>
      </c>
      <c r="D403" s="131" t="s">
        <v>22</v>
      </c>
      <c r="E403" s="131" t="s">
        <v>7</v>
      </c>
      <c r="F403" s="131" t="s">
        <v>13</v>
      </c>
      <c r="G403" s="131" t="s">
        <v>16</v>
      </c>
      <c r="H403" s="131" t="s">
        <v>23</v>
      </c>
      <c r="I403" s="336" t="s">
        <v>24</v>
      </c>
      <c r="J403" s="336" t="s">
        <v>25</v>
      </c>
      <c r="K403" s="336" t="s">
        <v>26</v>
      </c>
      <c r="L403" s="336" t="s">
        <v>27</v>
      </c>
      <c r="M403" s="336" t="s">
        <v>28</v>
      </c>
      <c r="AB403" s="313" t="e">
        <f t="shared" si="85"/>
        <v>#VALUE!</v>
      </c>
    </row>
    <row r="404" spans="1:28" s="313" customFormat="1">
      <c r="A404" s="312" t="str">
        <f>A30</f>
        <v xml:space="preserve">production of heat exchanger </v>
      </c>
      <c r="B404" s="313">
        <v>1</v>
      </c>
      <c r="C404" t="s">
        <v>18</v>
      </c>
      <c r="D404" s="313" t="s">
        <v>2</v>
      </c>
      <c r="E404" s="313" t="s">
        <v>456</v>
      </c>
      <c r="F404" s="313" t="s">
        <v>59</v>
      </c>
      <c r="G404" s="313" t="s">
        <v>30</v>
      </c>
      <c r="H404" s="313">
        <v>1</v>
      </c>
      <c r="I404" s="313">
        <v>1</v>
      </c>
      <c r="J404" s="313" t="s">
        <v>31</v>
      </c>
      <c r="K404" s="313" t="s">
        <v>31</v>
      </c>
      <c r="L404" s="313" t="s">
        <v>31</v>
      </c>
      <c r="M404" s="313" t="s">
        <v>31</v>
      </c>
      <c r="O404" s="314" t="s">
        <v>464</v>
      </c>
      <c r="P404" s="315" t="s">
        <v>465</v>
      </c>
      <c r="Q404" s="315" t="s">
        <v>21</v>
      </c>
      <c r="R404" s="316" t="s">
        <v>466</v>
      </c>
      <c r="T404" s="315" t="s">
        <v>467</v>
      </c>
      <c r="W404" s="313" t="s">
        <v>535</v>
      </c>
      <c r="AB404" s="313" t="e">
        <f t="shared" si="85"/>
        <v>#VALUE!</v>
      </c>
    </row>
    <row r="405" spans="1:28">
      <c r="A405" s="335" t="s">
        <v>656</v>
      </c>
      <c r="B405">
        <f t="shared" ref="B405:B406" si="86">R405</f>
        <v>15.306122448979592</v>
      </c>
      <c r="C405" t="s">
        <v>37</v>
      </c>
      <c r="D405" t="s">
        <v>40</v>
      </c>
      <c r="E405" t="s">
        <v>456</v>
      </c>
      <c r="F405" t="s">
        <v>59</v>
      </c>
      <c r="G405" t="s">
        <v>33</v>
      </c>
      <c r="H405">
        <v>5</v>
      </c>
      <c r="I405">
        <f>B405</f>
        <v>15.306122448979592</v>
      </c>
      <c r="J405" s="313" t="s">
        <v>31</v>
      </c>
      <c r="K405" s="313" t="s">
        <v>31</v>
      </c>
      <c r="L405">
        <f>0.5*B405</f>
        <v>7.6530612244897958</v>
      </c>
      <c r="M405">
        <f>1.5*B405</f>
        <v>22.959183673469386</v>
      </c>
      <c r="O405">
        <v>1</v>
      </c>
      <c r="P405">
        <v>0.98</v>
      </c>
      <c r="Q405" s="340">
        <v>15</v>
      </c>
      <c r="R405" s="318">
        <f t="shared" ref="R405:R406" si="87">(Q405/P405)*O405</f>
        <v>15.306122448979592</v>
      </c>
      <c r="T405" t="s">
        <v>649</v>
      </c>
      <c r="AB405" s="313">
        <f t="shared" si="85"/>
        <v>15.30612244897959</v>
      </c>
    </row>
    <row r="406" spans="1:28">
      <c r="A406" s="88" t="s">
        <v>659</v>
      </c>
      <c r="B406">
        <f t="shared" si="86"/>
        <v>15</v>
      </c>
      <c r="C406" t="s">
        <v>37</v>
      </c>
      <c r="D406" t="s">
        <v>40</v>
      </c>
      <c r="E406" t="s">
        <v>456</v>
      </c>
      <c r="F406" t="s">
        <v>59</v>
      </c>
      <c r="G406" t="s">
        <v>33</v>
      </c>
      <c r="H406">
        <v>1</v>
      </c>
      <c r="I406">
        <f t="shared" ref="I406" si="88">B406</f>
        <v>15</v>
      </c>
      <c r="J406" s="313" t="s">
        <v>31</v>
      </c>
      <c r="K406" s="313" t="s">
        <v>31</v>
      </c>
      <c r="L406" s="313" t="s">
        <v>31</v>
      </c>
      <c r="M406" s="313" t="s">
        <v>31</v>
      </c>
      <c r="O406">
        <v>1</v>
      </c>
      <c r="P406">
        <v>1</v>
      </c>
      <c r="Q406">
        <v>15</v>
      </c>
      <c r="R406" s="339">
        <f t="shared" si="87"/>
        <v>15</v>
      </c>
      <c r="AB406" s="313" t="e">
        <f t="shared" si="85"/>
        <v>#VALUE!</v>
      </c>
    </row>
    <row r="407" spans="1:28" s="70" customFormat="1">
      <c r="A407" s="309" t="s">
        <v>5</v>
      </c>
      <c r="B407" s="123" t="str">
        <f>A417</f>
        <v>production of ion exchange filter</v>
      </c>
      <c r="C407" s="69"/>
      <c r="AB407" s="313">
        <f t="shared" si="85"/>
        <v>0</v>
      </c>
    </row>
    <row r="408" spans="1:28">
      <c r="A408" s="71" t="s">
        <v>7</v>
      </c>
      <c r="B408" t="s">
        <v>456</v>
      </c>
      <c r="C408" s="72"/>
      <c r="AB408" s="313">
        <f t="shared" si="85"/>
        <v>0</v>
      </c>
    </row>
    <row r="409" spans="1:28">
      <c r="A409" s="71" t="s">
        <v>9</v>
      </c>
      <c r="B409" s="310" t="s">
        <v>660</v>
      </c>
      <c r="C409" s="72"/>
      <c r="AB409" s="313">
        <f t="shared" si="85"/>
        <v>0</v>
      </c>
    </row>
    <row r="410" spans="1:28" ht="50.25" customHeight="1">
      <c r="A410" s="71" t="s">
        <v>11</v>
      </c>
      <c r="B410" s="320" t="s">
        <v>661</v>
      </c>
      <c r="AB410" s="313">
        <f t="shared" si="85"/>
        <v>0</v>
      </c>
    </row>
    <row r="411" spans="1:28">
      <c r="A411" s="71" t="s">
        <v>13</v>
      </c>
      <c r="B411" t="s">
        <v>59</v>
      </c>
      <c r="AB411" s="313">
        <f t="shared" si="85"/>
        <v>0</v>
      </c>
    </row>
    <row r="412" spans="1:28">
      <c r="A412" s="71" t="s">
        <v>15</v>
      </c>
      <c r="B412">
        <v>1</v>
      </c>
      <c r="AB412" s="313">
        <f t="shared" si="85"/>
        <v>0</v>
      </c>
    </row>
    <row r="413" spans="1:28">
      <c r="A413" s="71" t="s">
        <v>16</v>
      </c>
      <c r="B413" t="s">
        <v>17</v>
      </c>
      <c r="AB413" s="313">
        <f t="shared" si="85"/>
        <v>0</v>
      </c>
    </row>
    <row r="414" spans="1:28">
      <c r="A414" s="71" t="s">
        <v>18</v>
      </c>
      <c r="B414" t="str">
        <f>C417</f>
        <v>unit</v>
      </c>
      <c r="AB414" s="313">
        <f t="shared" si="85"/>
        <v>0</v>
      </c>
    </row>
    <row r="415" spans="1:28">
      <c r="A415" s="311" t="s">
        <v>19</v>
      </c>
      <c r="AB415" s="313">
        <f t="shared" si="85"/>
        <v>0</v>
      </c>
    </row>
    <row r="416" spans="1:28" ht="18.75" customHeight="1">
      <c r="A416" s="311" t="s">
        <v>20</v>
      </c>
      <c r="B416" s="131" t="s">
        <v>21</v>
      </c>
      <c r="C416" s="131" t="s">
        <v>18</v>
      </c>
      <c r="D416" s="131" t="s">
        <v>22</v>
      </c>
      <c r="E416" s="131" t="s">
        <v>7</v>
      </c>
      <c r="F416" s="131" t="s">
        <v>13</v>
      </c>
      <c r="G416" s="131" t="s">
        <v>16</v>
      </c>
      <c r="H416" s="131" t="s">
        <v>23</v>
      </c>
      <c r="I416" s="336" t="s">
        <v>24</v>
      </c>
      <c r="J416" s="336" t="s">
        <v>25</v>
      </c>
      <c r="K416" s="336" t="s">
        <v>26</v>
      </c>
      <c r="L416" s="336" t="s">
        <v>27</v>
      </c>
      <c r="M416" s="336" t="s">
        <v>28</v>
      </c>
      <c r="AB416" s="313" t="e">
        <f t="shared" si="85"/>
        <v>#VALUE!</v>
      </c>
    </row>
    <row r="417" spans="1:28" s="313" customFormat="1">
      <c r="A417" s="312" t="str">
        <f>A31</f>
        <v>production of ion exchange filter</v>
      </c>
      <c r="B417" s="313">
        <v>1</v>
      </c>
      <c r="C417" t="s">
        <v>18</v>
      </c>
      <c r="D417" s="313" t="s">
        <v>2</v>
      </c>
      <c r="E417" s="313" t="s">
        <v>456</v>
      </c>
      <c r="F417" s="313" t="s">
        <v>59</v>
      </c>
      <c r="G417" s="313" t="s">
        <v>30</v>
      </c>
      <c r="H417" s="313">
        <v>1</v>
      </c>
      <c r="I417" s="313">
        <v>1</v>
      </c>
      <c r="J417" s="313" t="s">
        <v>31</v>
      </c>
      <c r="K417" s="313" t="s">
        <v>31</v>
      </c>
      <c r="L417" s="313" t="s">
        <v>31</v>
      </c>
      <c r="M417" s="313" t="s">
        <v>31</v>
      </c>
      <c r="O417" s="314" t="s">
        <v>464</v>
      </c>
      <c r="P417" s="315" t="s">
        <v>465</v>
      </c>
      <c r="Q417" s="315" t="s">
        <v>21</v>
      </c>
      <c r="R417" s="316" t="s">
        <v>466</v>
      </c>
      <c r="T417" s="315" t="s">
        <v>467</v>
      </c>
      <c r="W417" s="313" t="s">
        <v>535</v>
      </c>
      <c r="AB417" s="313" t="e">
        <f t="shared" si="85"/>
        <v>#VALUE!</v>
      </c>
    </row>
    <row r="418" spans="1:28">
      <c r="A418" s="88" t="s">
        <v>121</v>
      </c>
      <c r="B418">
        <f>R418</f>
        <v>2.1052631578947367</v>
      </c>
      <c r="C418" t="s">
        <v>37</v>
      </c>
      <c r="D418" t="s">
        <v>40</v>
      </c>
      <c r="E418" t="s">
        <v>456</v>
      </c>
      <c r="F418" t="s">
        <v>59</v>
      </c>
      <c r="G418" t="s">
        <v>33</v>
      </c>
      <c r="H418">
        <v>5</v>
      </c>
      <c r="I418">
        <f t="shared" ref="I418:I419" si="89">B418</f>
        <v>2.1052631578947367</v>
      </c>
      <c r="J418" s="313" t="s">
        <v>31</v>
      </c>
      <c r="K418" s="313" t="s">
        <v>31</v>
      </c>
      <c r="L418">
        <f>B418*0.9</f>
        <v>1.8947368421052631</v>
      </c>
      <c r="M418">
        <f>1.1*B418</f>
        <v>2.3157894736842106</v>
      </c>
      <c r="O418">
        <v>4</v>
      </c>
      <c r="P418">
        <v>0.95</v>
      </c>
      <c r="Q418" s="340">
        <v>0.5</v>
      </c>
      <c r="R418" s="318">
        <f t="shared" ref="R418:R419" si="90">(Q418/P418)*O418</f>
        <v>2.1052631578947367</v>
      </c>
      <c r="T418" t="s">
        <v>621</v>
      </c>
      <c r="AB418" s="313">
        <f t="shared" si="85"/>
        <v>0.42105263157894757</v>
      </c>
    </row>
    <row r="419" spans="1:28">
      <c r="A419" s="88" t="s">
        <v>662</v>
      </c>
      <c r="B419">
        <f>R419</f>
        <v>1.0526315789473684</v>
      </c>
      <c r="C419" t="s">
        <v>37</v>
      </c>
      <c r="D419" t="s">
        <v>40</v>
      </c>
      <c r="E419" t="s">
        <v>456</v>
      </c>
      <c r="F419" t="s">
        <v>82</v>
      </c>
      <c r="G419" t="s">
        <v>33</v>
      </c>
      <c r="H419">
        <v>5</v>
      </c>
      <c r="I419">
        <f t="shared" si="89"/>
        <v>1.0526315789473684</v>
      </c>
      <c r="J419" s="313" t="s">
        <v>31</v>
      </c>
      <c r="K419" s="313" t="s">
        <v>31</v>
      </c>
      <c r="L419">
        <f>B419*0.9</f>
        <v>0.94736842105263153</v>
      </c>
      <c r="M419">
        <f>1.1*B419</f>
        <v>1.1578947368421053</v>
      </c>
      <c r="O419">
        <v>1</v>
      </c>
      <c r="P419">
        <v>0.95</v>
      </c>
      <c r="Q419" s="340">
        <v>1</v>
      </c>
      <c r="R419" s="318">
        <f t="shared" si="90"/>
        <v>1.0526315789473684</v>
      </c>
      <c r="T419" t="s">
        <v>621</v>
      </c>
      <c r="AB419" s="313">
        <f t="shared" si="85"/>
        <v>0.21052631578947378</v>
      </c>
    </row>
    <row r="420" spans="1:28" s="70" customFormat="1">
      <c r="A420" s="309" t="s">
        <v>5</v>
      </c>
      <c r="B420" s="123" t="str">
        <f>A430</f>
        <v>production of load cables</v>
      </c>
      <c r="C420" s="69"/>
      <c r="AB420" s="313">
        <f t="shared" si="85"/>
        <v>0</v>
      </c>
    </row>
    <row r="421" spans="1:28">
      <c r="A421" s="71" t="s">
        <v>7</v>
      </c>
      <c r="B421" t="s">
        <v>456</v>
      </c>
      <c r="C421" s="72"/>
      <c r="AB421" s="313">
        <f t="shared" si="85"/>
        <v>0</v>
      </c>
    </row>
    <row r="422" spans="1:28">
      <c r="A422" s="71" t="s">
        <v>9</v>
      </c>
      <c r="B422" s="310" t="s">
        <v>663</v>
      </c>
      <c r="C422" s="72"/>
      <c r="AB422" s="313">
        <f t="shared" si="85"/>
        <v>0</v>
      </c>
    </row>
    <row r="423" spans="1:28" ht="50.25" customHeight="1">
      <c r="A423" s="71" t="s">
        <v>11</v>
      </c>
      <c r="B423" s="320" t="s">
        <v>664</v>
      </c>
      <c r="AB423" s="313">
        <f t="shared" si="85"/>
        <v>0</v>
      </c>
    </row>
    <row r="424" spans="1:28">
      <c r="A424" s="71" t="s">
        <v>13</v>
      </c>
      <c r="B424" t="s">
        <v>59</v>
      </c>
      <c r="AB424" s="313">
        <f t="shared" si="85"/>
        <v>0</v>
      </c>
    </row>
    <row r="425" spans="1:28">
      <c r="A425" s="71" t="s">
        <v>15</v>
      </c>
      <c r="B425">
        <f>B430</f>
        <v>1</v>
      </c>
      <c r="AB425" s="313">
        <f t="shared" si="85"/>
        <v>0</v>
      </c>
    </row>
    <row r="426" spans="1:28">
      <c r="A426" s="71" t="s">
        <v>16</v>
      </c>
      <c r="B426" t="s">
        <v>17</v>
      </c>
      <c r="AB426" s="313">
        <f t="shared" si="85"/>
        <v>0</v>
      </c>
    </row>
    <row r="427" spans="1:28">
      <c r="A427" s="71" t="s">
        <v>18</v>
      </c>
      <c r="B427" t="str">
        <f>C430</f>
        <v>unit</v>
      </c>
      <c r="AB427" s="313">
        <f t="shared" si="85"/>
        <v>0</v>
      </c>
    </row>
    <row r="428" spans="1:28">
      <c r="A428" s="311" t="s">
        <v>19</v>
      </c>
      <c r="AB428" s="313">
        <f t="shared" si="85"/>
        <v>0</v>
      </c>
    </row>
    <row r="429" spans="1:28" ht="18.75" customHeight="1">
      <c r="A429" s="311" t="s">
        <v>20</v>
      </c>
      <c r="B429" s="131" t="s">
        <v>21</v>
      </c>
      <c r="C429" s="131" t="s">
        <v>18</v>
      </c>
      <c r="D429" s="131" t="s">
        <v>22</v>
      </c>
      <c r="E429" s="131" t="s">
        <v>7</v>
      </c>
      <c r="F429" s="131" t="s">
        <v>13</v>
      </c>
      <c r="G429" s="131" t="s">
        <v>16</v>
      </c>
      <c r="H429" s="131" t="s">
        <v>23</v>
      </c>
      <c r="I429" s="336" t="s">
        <v>24</v>
      </c>
      <c r="J429" s="336" t="s">
        <v>25</v>
      </c>
      <c r="K429" s="336" t="s">
        <v>26</v>
      </c>
      <c r="L429" s="336" t="s">
        <v>27</v>
      </c>
      <c r="M429" s="336" t="s">
        <v>28</v>
      </c>
      <c r="AB429" s="313" t="e">
        <f t="shared" si="85"/>
        <v>#VALUE!</v>
      </c>
    </row>
    <row r="430" spans="1:28" s="313" customFormat="1">
      <c r="A430" s="312" t="str">
        <f>A32</f>
        <v>production of load cables</v>
      </c>
      <c r="B430" s="313">
        <v>1</v>
      </c>
      <c r="C430" t="s">
        <v>18</v>
      </c>
      <c r="D430" s="313" t="s">
        <v>2</v>
      </c>
      <c r="E430" s="313" t="s">
        <v>456</v>
      </c>
      <c r="F430" s="313" t="s">
        <v>59</v>
      </c>
      <c r="G430" s="313" t="s">
        <v>30</v>
      </c>
      <c r="H430" s="313">
        <v>1</v>
      </c>
      <c r="I430" s="313">
        <v>1</v>
      </c>
      <c r="J430" s="313" t="s">
        <v>31</v>
      </c>
      <c r="K430" s="313" t="s">
        <v>31</v>
      </c>
      <c r="L430" s="313" t="s">
        <v>31</v>
      </c>
      <c r="M430" s="313" t="s">
        <v>31</v>
      </c>
      <c r="O430" s="314" t="s">
        <v>464</v>
      </c>
      <c r="P430" s="315" t="s">
        <v>465</v>
      </c>
      <c r="Q430" s="315" t="s">
        <v>21</v>
      </c>
      <c r="R430" s="316" t="s">
        <v>466</v>
      </c>
      <c r="T430" s="315" t="s">
        <v>467</v>
      </c>
      <c r="W430" s="313" t="s">
        <v>535</v>
      </c>
      <c r="AB430" s="313" t="e">
        <f t="shared" si="85"/>
        <v>#VALUE!</v>
      </c>
    </row>
    <row r="431" spans="1:28">
      <c r="A431" t="s">
        <v>243</v>
      </c>
      <c r="B431">
        <v>1.2</v>
      </c>
      <c r="C431" t="s">
        <v>37</v>
      </c>
      <c r="D431" t="s">
        <v>40</v>
      </c>
      <c r="E431" s="313" t="s">
        <v>456</v>
      </c>
      <c r="F431" s="313" t="s">
        <v>59</v>
      </c>
      <c r="G431" t="s">
        <v>33</v>
      </c>
      <c r="H431">
        <v>0</v>
      </c>
      <c r="I431">
        <f>B431</f>
        <v>1.2</v>
      </c>
      <c r="J431" s="313" t="s">
        <v>31</v>
      </c>
      <c r="K431" s="313" t="s">
        <v>31</v>
      </c>
      <c r="L431" s="313" t="s">
        <v>31</v>
      </c>
      <c r="M431" s="313" t="s">
        <v>31</v>
      </c>
      <c r="AB431" s="313" t="e">
        <f t="shared" si="85"/>
        <v>#VALUE!</v>
      </c>
    </row>
    <row r="432" spans="1:28" s="70" customFormat="1">
      <c r="A432" s="309" t="s">
        <v>5</v>
      </c>
      <c r="B432" s="123" t="str">
        <f>A442</f>
        <v>production of supporting construction frame</v>
      </c>
      <c r="C432" s="69"/>
      <c r="AB432" s="313">
        <f t="shared" si="85"/>
        <v>0</v>
      </c>
    </row>
    <row r="433" spans="1:28">
      <c r="A433" s="71" t="s">
        <v>7</v>
      </c>
      <c r="B433" t="s">
        <v>456</v>
      </c>
      <c r="C433" s="72"/>
      <c r="AB433" s="313">
        <f t="shared" si="85"/>
        <v>0</v>
      </c>
    </row>
    <row r="434" spans="1:28">
      <c r="A434" s="71" t="s">
        <v>9</v>
      </c>
      <c r="B434" s="310" t="s">
        <v>665</v>
      </c>
      <c r="C434" s="72"/>
      <c r="AB434" s="313">
        <f t="shared" si="85"/>
        <v>0</v>
      </c>
    </row>
    <row r="435" spans="1:28" ht="48.75" customHeight="1">
      <c r="A435" s="71" t="s">
        <v>11</v>
      </c>
      <c r="B435" s="320" t="s">
        <v>666</v>
      </c>
      <c r="AB435" s="313">
        <f t="shared" si="85"/>
        <v>0</v>
      </c>
    </row>
    <row r="436" spans="1:28">
      <c r="A436" s="71" t="s">
        <v>13</v>
      </c>
      <c r="B436" t="s">
        <v>59</v>
      </c>
      <c r="AB436" s="313">
        <f t="shared" si="85"/>
        <v>0</v>
      </c>
    </row>
    <row r="437" spans="1:28">
      <c r="A437" s="71" t="s">
        <v>15</v>
      </c>
      <c r="B437">
        <f>B442</f>
        <v>1</v>
      </c>
      <c r="AB437" s="313">
        <f t="shared" si="85"/>
        <v>0</v>
      </c>
    </row>
    <row r="438" spans="1:28">
      <c r="A438" s="71" t="s">
        <v>16</v>
      </c>
      <c r="B438" t="s">
        <v>17</v>
      </c>
      <c r="AB438" s="313">
        <f t="shared" si="85"/>
        <v>0</v>
      </c>
    </row>
    <row r="439" spans="1:28">
      <c r="A439" s="71" t="s">
        <v>18</v>
      </c>
      <c r="B439" t="str">
        <f>C442</f>
        <v>unit</v>
      </c>
      <c r="AB439" s="313">
        <f t="shared" si="85"/>
        <v>0</v>
      </c>
    </row>
    <row r="440" spans="1:28">
      <c r="A440" s="311" t="s">
        <v>19</v>
      </c>
      <c r="AB440" s="313">
        <f t="shared" si="85"/>
        <v>0</v>
      </c>
    </row>
    <row r="441" spans="1:28" ht="18.75" customHeight="1">
      <c r="A441" s="311" t="s">
        <v>20</v>
      </c>
      <c r="B441" s="131" t="s">
        <v>21</v>
      </c>
      <c r="C441" s="131" t="s">
        <v>18</v>
      </c>
      <c r="D441" s="131" t="s">
        <v>22</v>
      </c>
      <c r="E441" s="131" t="s">
        <v>7</v>
      </c>
      <c r="F441" s="131" t="s">
        <v>13</v>
      </c>
      <c r="G441" s="131" t="s">
        <v>16</v>
      </c>
      <c r="H441" s="131" t="s">
        <v>23</v>
      </c>
      <c r="I441" s="336" t="s">
        <v>24</v>
      </c>
      <c r="J441" s="336" t="s">
        <v>25</v>
      </c>
      <c r="K441" s="336" t="s">
        <v>26</v>
      </c>
      <c r="L441" s="336" t="s">
        <v>27</v>
      </c>
      <c r="M441" s="336" t="s">
        <v>28</v>
      </c>
      <c r="AB441" s="313" t="e">
        <f t="shared" si="85"/>
        <v>#VALUE!</v>
      </c>
    </row>
    <row r="442" spans="1:28" s="313" customFormat="1">
      <c r="A442" s="312" t="str">
        <f>A33</f>
        <v>production of supporting construction frame</v>
      </c>
      <c r="B442" s="313">
        <v>1</v>
      </c>
      <c r="C442" t="s">
        <v>18</v>
      </c>
      <c r="D442" s="313" t="s">
        <v>2</v>
      </c>
      <c r="E442" s="313" t="s">
        <v>456</v>
      </c>
      <c r="F442" s="313" t="s">
        <v>59</v>
      </c>
      <c r="G442" s="313" t="s">
        <v>30</v>
      </c>
      <c r="H442" s="313">
        <v>1</v>
      </c>
      <c r="I442" s="313">
        <v>1</v>
      </c>
      <c r="J442" s="313" t="s">
        <v>31</v>
      </c>
      <c r="K442" s="313" t="s">
        <v>31</v>
      </c>
      <c r="L442" s="313" t="s">
        <v>31</v>
      </c>
      <c r="M442" s="313" t="s">
        <v>31</v>
      </c>
      <c r="O442" s="314" t="s">
        <v>464</v>
      </c>
      <c r="P442" s="315" t="s">
        <v>465</v>
      </c>
      <c r="Q442" s="315" t="s">
        <v>21</v>
      </c>
      <c r="R442" s="316" t="s">
        <v>466</v>
      </c>
      <c r="T442" s="315" t="s">
        <v>467</v>
      </c>
      <c r="W442" s="313" t="s">
        <v>535</v>
      </c>
      <c r="AB442" s="313" t="e">
        <f t="shared" si="85"/>
        <v>#VALUE!</v>
      </c>
    </row>
    <row r="443" spans="1:28">
      <c r="A443" s="335" t="s">
        <v>656</v>
      </c>
      <c r="B443">
        <f t="shared" ref="B443:B444" si="91">R443</f>
        <v>10.204081632653061</v>
      </c>
      <c r="C443" t="s">
        <v>37</v>
      </c>
      <c r="D443" t="s">
        <v>40</v>
      </c>
      <c r="E443" t="s">
        <v>456</v>
      </c>
      <c r="F443" t="s">
        <v>59</v>
      </c>
      <c r="G443" t="s">
        <v>33</v>
      </c>
      <c r="H443">
        <v>5</v>
      </c>
      <c r="I443">
        <f>B443</f>
        <v>10.204081632653061</v>
      </c>
      <c r="J443" s="313" t="s">
        <v>31</v>
      </c>
      <c r="K443" s="313" t="s">
        <v>31</v>
      </c>
      <c r="L443">
        <f>0.7*B443</f>
        <v>7.1428571428571423</v>
      </c>
      <c r="M443">
        <f>1.3*B443</f>
        <v>13.26530612244898</v>
      </c>
      <c r="O443">
        <v>1</v>
      </c>
      <c r="P443">
        <v>0.98</v>
      </c>
      <c r="Q443" s="340">
        <v>10</v>
      </c>
      <c r="R443" s="318">
        <f t="shared" ref="R443:R444" si="92">(Q443/P443)*O443</f>
        <v>10.204081632653061</v>
      </c>
      <c r="T443" t="s">
        <v>667</v>
      </c>
      <c r="AB443" s="313">
        <f t="shared" si="85"/>
        <v>6.1224489795918373</v>
      </c>
    </row>
    <row r="444" spans="1:28">
      <c r="A444" s="88" t="s">
        <v>659</v>
      </c>
      <c r="B444">
        <f t="shared" si="91"/>
        <v>10</v>
      </c>
      <c r="C444" t="s">
        <v>37</v>
      </c>
      <c r="D444" t="s">
        <v>40</v>
      </c>
      <c r="E444" t="s">
        <v>456</v>
      </c>
      <c r="F444" t="s">
        <v>59</v>
      </c>
      <c r="G444" t="s">
        <v>33</v>
      </c>
      <c r="H444">
        <v>1</v>
      </c>
      <c r="I444">
        <f t="shared" ref="I444" si="93">B444</f>
        <v>10</v>
      </c>
      <c r="J444" s="313" t="s">
        <v>31</v>
      </c>
      <c r="K444" s="313" t="s">
        <v>31</v>
      </c>
      <c r="L444" s="313" t="s">
        <v>31</v>
      </c>
      <c r="M444" s="313" t="s">
        <v>31</v>
      </c>
      <c r="O444">
        <v>1</v>
      </c>
      <c r="P444">
        <v>1</v>
      </c>
      <c r="Q444">
        <v>10</v>
      </c>
      <c r="R444" s="339">
        <f t="shared" si="92"/>
        <v>10</v>
      </c>
      <c r="AB444" s="313" t="e">
        <f t="shared" si="85"/>
        <v>#VALUE!</v>
      </c>
    </row>
    <row r="445" spans="1:28" s="70" customFormat="1">
      <c r="A445" s="309" t="s">
        <v>5</v>
      </c>
      <c r="B445" s="123" t="str">
        <f>A455</f>
        <v>production of piping and hose system</v>
      </c>
      <c r="C445" s="69"/>
      <c r="AB445" s="313">
        <f t="shared" si="85"/>
        <v>0</v>
      </c>
    </row>
    <row r="446" spans="1:28">
      <c r="A446" s="71" t="s">
        <v>7</v>
      </c>
      <c r="B446" t="s">
        <v>456</v>
      </c>
      <c r="C446" s="72"/>
      <c r="AB446" s="313">
        <f t="shared" si="85"/>
        <v>0</v>
      </c>
    </row>
    <row r="447" spans="1:28">
      <c r="A447" s="71" t="s">
        <v>9</v>
      </c>
      <c r="B447" s="310" t="s">
        <v>668</v>
      </c>
      <c r="C447" s="72"/>
      <c r="AB447" s="313">
        <f t="shared" si="85"/>
        <v>0</v>
      </c>
    </row>
    <row r="448" spans="1:28" ht="50.25" customHeight="1">
      <c r="A448" s="71" t="s">
        <v>11</v>
      </c>
      <c r="B448" s="320" t="s">
        <v>666</v>
      </c>
      <c r="AB448" s="313">
        <f t="shared" si="85"/>
        <v>0</v>
      </c>
    </row>
    <row r="449" spans="1:28">
      <c r="A449" s="71" t="s">
        <v>13</v>
      </c>
      <c r="B449" t="s">
        <v>59</v>
      </c>
      <c r="AB449" s="313">
        <f t="shared" si="85"/>
        <v>0</v>
      </c>
    </row>
    <row r="450" spans="1:28">
      <c r="A450" s="71" t="s">
        <v>15</v>
      </c>
      <c r="B450">
        <f>B455</f>
        <v>1</v>
      </c>
      <c r="AB450" s="313">
        <f t="shared" si="85"/>
        <v>0</v>
      </c>
    </row>
    <row r="451" spans="1:28">
      <c r="A451" s="71" t="s">
        <v>16</v>
      </c>
      <c r="B451" t="s">
        <v>17</v>
      </c>
      <c r="AB451" s="313">
        <f t="shared" si="85"/>
        <v>0</v>
      </c>
    </row>
    <row r="452" spans="1:28">
      <c r="A452" s="71" t="s">
        <v>18</v>
      </c>
      <c r="B452" t="str">
        <f>C455</f>
        <v>unit</v>
      </c>
      <c r="AB452" s="313">
        <f t="shared" si="85"/>
        <v>0</v>
      </c>
    </row>
    <row r="453" spans="1:28">
      <c r="A453" s="311" t="s">
        <v>19</v>
      </c>
      <c r="AB453" s="313">
        <f t="shared" si="85"/>
        <v>0</v>
      </c>
    </row>
    <row r="454" spans="1:28" ht="18.75" customHeight="1">
      <c r="A454" s="311" t="s">
        <v>20</v>
      </c>
      <c r="B454" s="131" t="s">
        <v>21</v>
      </c>
      <c r="C454" s="131" t="s">
        <v>18</v>
      </c>
      <c r="D454" s="131" t="s">
        <v>22</v>
      </c>
      <c r="E454" s="131" t="s">
        <v>7</v>
      </c>
      <c r="F454" s="131" t="s">
        <v>13</v>
      </c>
      <c r="G454" s="131" t="s">
        <v>16</v>
      </c>
      <c r="H454" s="131" t="s">
        <v>23</v>
      </c>
      <c r="I454" s="336" t="s">
        <v>24</v>
      </c>
      <c r="J454" s="336" t="s">
        <v>25</v>
      </c>
      <c r="K454" s="336" t="s">
        <v>26</v>
      </c>
      <c r="L454" s="336" t="s">
        <v>27</v>
      </c>
      <c r="M454" s="336" t="s">
        <v>28</v>
      </c>
      <c r="AB454" s="313" t="e">
        <f t="shared" si="85"/>
        <v>#VALUE!</v>
      </c>
    </row>
    <row r="455" spans="1:28" s="313" customFormat="1">
      <c r="A455" s="312" t="str">
        <f>A34</f>
        <v>production of piping and hose system</v>
      </c>
      <c r="B455" s="313">
        <v>1</v>
      </c>
      <c r="C455" t="s">
        <v>18</v>
      </c>
      <c r="D455" s="313" t="s">
        <v>2</v>
      </c>
      <c r="E455" s="313" t="s">
        <v>456</v>
      </c>
      <c r="F455" s="313" t="s">
        <v>59</v>
      </c>
      <c r="G455" s="313" t="s">
        <v>30</v>
      </c>
      <c r="H455" s="313">
        <v>1</v>
      </c>
      <c r="I455" s="313">
        <v>1</v>
      </c>
      <c r="J455" s="313" t="s">
        <v>31</v>
      </c>
      <c r="K455" s="313" t="s">
        <v>31</v>
      </c>
      <c r="L455" s="313" t="s">
        <v>31</v>
      </c>
      <c r="M455" s="313" t="s">
        <v>31</v>
      </c>
      <c r="O455" s="314" t="s">
        <v>464</v>
      </c>
      <c r="P455" s="315" t="s">
        <v>465</v>
      </c>
      <c r="Q455" s="315" t="s">
        <v>21</v>
      </c>
      <c r="R455" s="316" t="s">
        <v>466</v>
      </c>
      <c r="T455" s="315" t="s">
        <v>467</v>
      </c>
      <c r="W455" s="313" t="s">
        <v>535</v>
      </c>
      <c r="AB455" s="313" t="e">
        <f t="shared" si="85"/>
        <v>#VALUE!</v>
      </c>
    </row>
    <row r="456" spans="1:28">
      <c r="A456" s="88" t="s">
        <v>604</v>
      </c>
      <c r="B456">
        <f>R456</f>
        <v>15.789473684210527</v>
      </c>
      <c r="C456" t="s">
        <v>37</v>
      </c>
      <c r="D456" t="s">
        <v>40</v>
      </c>
      <c r="E456" t="s">
        <v>456</v>
      </c>
      <c r="F456" t="s">
        <v>59</v>
      </c>
      <c r="G456" t="s">
        <v>33</v>
      </c>
      <c r="H456">
        <v>5</v>
      </c>
      <c r="I456">
        <f>B456</f>
        <v>15.789473684210527</v>
      </c>
      <c r="J456" s="313" t="s">
        <v>31</v>
      </c>
      <c r="K456" s="313" t="s">
        <v>31</v>
      </c>
      <c r="L456">
        <f>0.5*B456</f>
        <v>7.8947368421052637</v>
      </c>
      <c r="M456">
        <f>1.5*B456</f>
        <v>23.684210526315791</v>
      </c>
      <c r="O456">
        <v>1</v>
      </c>
      <c r="P456">
        <v>0.95</v>
      </c>
      <c r="Q456">
        <v>15</v>
      </c>
      <c r="R456" s="318">
        <f t="shared" ref="R456:R457" si="94">(Q456/P456)*O456</f>
        <v>15.789473684210527</v>
      </c>
      <c r="T456" t="s">
        <v>649</v>
      </c>
      <c r="W456" s="338"/>
      <c r="X456" s="334"/>
      <c r="AB456" s="313">
        <f t="shared" si="85"/>
        <v>15.789473684210527</v>
      </c>
    </row>
    <row r="457" spans="1:28">
      <c r="A457" s="88" t="s">
        <v>145</v>
      </c>
      <c r="B457">
        <f>R457</f>
        <v>3.1578947368421053</v>
      </c>
      <c r="C457" t="s">
        <v>37</v>
      </c>
      <c r="D457" t="s">
        <v>40</v>
      </c>
      <c r="E457" t="s">
        <v>456</v>
      </c>
      <c r="F457" t="s">
        <v>59</v>
      </c>
      <c r="G457" t="s">
        <v>33</v>
      </c>
      <c r="H457">
        <v>5</v>
      </c>
      <c r="I457">
        <f>B457</f>
        <v>3.1578947368421053</v>
      </c>
      <c r="J457" s="313" t="s">
        <v>31</v>
      </c>
      <c r="K457" s="313" t="s">
        <v>31</v>
      </c>
      <c r="L457">
        <f>0.5*B457</f>
        <v>1.5789473684210527</v>
      </c>
      <c r="M457">
        <f>1.5*B457</f>
        <v>4.7368421052631575</v>
      </c>
      <c r="O457">
        <v>1</v>
      </c>
      <c r="P457">
        <v>0.95</v>
      </c>
      <c r="Q457">
        <v>3</v>
      </c>
      <c r="R457" s="318">
        <f t="shared" si="94"/>
        <v>3.1578947368421053</v>
      </c>
      <c r="T457" t="s">
        <v>649</v>
      </c>
      <c r="AB457" s="313">
        <f t="shared" si="85"/>
        <v>3.1578947368421049</v>
      </c>
    </row>
    <row r="458" spans="1:28">
      <c r="AB458" s="313">
        <f t="shared" si="85"/>
        <v>0</v>
      </c>
    </row>
    <row r="459" spans="1:28">
      <c r="AB459" s="313">
        <f t="shared" si="85"/>
        <v>0</v>
      </c>
    </row>
    <row r="460" spans="1:28">
      <c r="AB460" s="313">
        <f t="shared" si="85"/>
        <v>0</v>
      </c>
    </row>
    <row r="461" spans="1:28">
      <c r="AB461" s="313">
        <f t="shared" ref="AB461:AB524" si="95">M461-L461</f>
        <v>0</v>
      </c>
    </row>
    <row r="462" spans="1:28">
      <c r="AB462" s="313">
        <f t="shared" si="95"/>
        <v>0</v>
      </c>
    </row>
    <row r="463" spans="1:28">
      <c r="AB463" s="313">
        <f t="shared" si="95"/>
        <v>0</v>
      </c>
    </row>
    <row r="464" spans="1:28">
      <c r="AB464" s="313">
        <f t="shared" si="95"/>
        <v>0</v>
      </c>
    </row>
    <row r="465" spans="28:28">
      <c r="AB465" s="313">
        <f t="shared" si="95"/>
        <v>0</v>
      </c>
    </row>
    <row r="466" spans="28:28">
      <c r="AB466" s="313">
        <f t="shared" si="95"/>
        <v>0</v>
      </c>
    </row>
    <row r="467" spans="28:28">
      <c r="AB467" s="313">
        <f t="shared" si="95"/>
        <v>0</v>
      </c>
    </row>
    <row r="468" spans="28:28">
      <c r="AB468" s="313">
        <f t="shared" si="95"/>
        <v>0</v>
      </c>
    </row>
    <row r="469" spans="28:28">
      <c r="AB469" s="313">
        <f t="shared" si="95"/>
        <v>0</v>
      </c>
    </row>
    <row r="470" spans="28:28">
      <c r="AB470" s="313">
        <f t="shared" si="95"/>
        <v>0</v>
      </c>
    </row>
    <row r="471" spans="28:28">
      <c r="AB471" s="313">
        <f t="shared" si="95"/>
        <v>0</v>
      </c>
    </row>
    <row r="472" spans="28:28">
      <c r="AB472" s="313">
        <f t="shared" si="95"/>
        <v>0</v>
      </c>
    </row>
    <row r="473" spans="28:28">
      <c r="AB473" s="313">
        <f t="shared" si="95"/>
        <v>0</v>
      </c>
    </row>
    <row r="474" spans="28:28">
      <c r="AB474" s="313">
        <f t="shared" si="95"/>
        <v>0</v>
      </c>
    </row>
    <row r="475" spans="28:28">
      <c r="AB475" s="313">
        <f t="shared" si="95"/>
        <v>0</v>
      </c>
    </row>
    <row r="476" spans="28:28">
      <c r="AB476" s="313">
        <f t="shared" si="95"/>
        <v>0</v>
      </c>
    </row>
    <row r="477" spans="28:28">
      <c r="AB477" s="313">
        <f t="shared" si="95"/>
        <v>0</v>
      </c>
    </row>
    <row r="478" spans="28:28">
      <c r="AB478" s="313">
        <f t="shared" si="95"/>
        <v>0</v>
      </c>
    </row>
    <row r="479" spans="28:28">
      <c r="AB479" s="313">
        <f t="shared" si="95"/>
        <v>0</v>
      </c>
    </row>
    <row r="480" spans="28:28">
      <c r="AB480" s="313">
        <f t="shared" si="95"/>
        <v>0</v>
      </c>
    </row>
    <row r="481" spans="28:28">
      <c r="AB481" s="313">
        <f t="shared" si="95"/>
        <v>0</v>
      </c>
    </row>
    <row r="482" spans="28:28">
      <c r="AB482" s="313">
        <f t="shared" si="95"/>
        <v>0</v>
      </c>
    </row>
    <row r="483" spans="28:28">
      <c r="AB483" s="313">
        <f t="shared" si="95"/>
        <v>0</v>
      </c>
    </row>
    <row r="484" spans="28:28">
      <c r="AB484" s="313">
        <f t="shared" si="95"/>
        <v>0</v>
      </c>
    </row>
    <row r="485" spans="28:28">
      <c r="AB485" s="313">
        <f t="shared" si="95"/>
        <v>0</v>
      </c>
    </row>
    <row r="486" spans="28:28">
      <c r="AB486" s="313">
        <f t="shared" si="95"/>
        <v>0</v>
      </c>
    </row>
    <row r="487" spans="28:28">
      <c r="AB487" s="313">
        <f t="shared" si="95"/>
        <v>0</v>
      </c>
    </row>
    <row r="488" spans="28:28">
      <c r="AB488" s="313">
        <f t="shared" si="95"/>
        <v>0</v>
      </c>
    </row>
    <row r="489" spans="28:28">
      <c r="AB489" s="313">
        <f t="shared" si="95"/>
        <v>0</v>
      </c>
    </row>
    <row r="490" spans="28:28">
      <c r="AB490" s="313">
        <f t="shared" si="95"/>
        <v>0</v>
      </c>
    </row>
    <row r="491" spans="28:28">
      <c r="AB491" s="313">
        <f t="shared" si="95"/>
        <v>0</v>
      </c>
    </row>
    <row r="492" spans="28:28">
      <c r="AB492" s="313">
        <f t="shared" si="95"/>
        <v>0</v>
      </c>
    </row>
    <row r="493" spans="28:28">
      <c r="AB493" s="313">
        <f t="shared" si="95"/>
        <v>0</v>
      </c>
    </row>
    <row r="494" spans="28:28">
      <c r="AB494" s="313">
        <f t="shared" si="95"/>
        <v>0</v>
      </c>
    </row>
    <row r="495" spans="28:28">
      <c r="AB495" s="313">
        <f t="shared" si="95"/>
        <v>0</v>
      </c>
    </row>
    <row r="496" spans="28:28">
      <c r="AB496" s="313">
        <f t="shared" si="95"/>
        <v>0</v>
      </c>
    </row>
    <row r="497" spans="28:28">
      <c r="AB497" s="313">
        <f t="shared" si="95"/>
        <v>0</v>
      </c>
    </row>
    <row r="498" spans="28:28">
      <c r="AB498" s="313">
        <f t="shared" si="95"/>
        <v>0</v>
      </c>
    </row>
    <row r="499" spans="28:28">
      <c r="AB499" s="313">
        <f t="shared" si="95"/>
        <v>0</v>
      </c>
    </row>
    <row r="500" spans="28:28">
      <c r="AB500" s="313">
        <f t="shared" si="95"/>
        <v>0</v>
      </c>
    </row>
    <row r="501" spans="28:28">
      <c r="AB501" s="313">
        <f t="shared" si="95"/>
        <v>0</v>
      </c>
    </row>
    <row r="502" spans="28:28">
      <c r="AB502" s="313">
        <f t="shared" si="95"/>
        <v>0</v>
      </c>
    </row>
    <row r="503" spans="28:28">
      <c r="AB503" s="313">
        <f t="shared" si="95"/>
        <v>0</v>
      </c>
    </row>
    <row r="504" spans="28:28">
      <c r="AB504" s="313">
        <f t="shared" si="95"/>
        <v>0</v>
      </c>
    </row>
    <row r="505" spans="28:28">
      <c r="AB505" s="313">
        <f t="shared" si="95"/>
        <v>0</v>
      </c>
    </row>
    <row r="506" spans="28:28">
      <c r="AB506" s="313">
        <f t="shared" si="95"/>
        <v>0</v>
      </c>
    </row>
    <row r="507" spans="28:28">
      <c r="AB507" s="313">
        <f t="shared" si="95"/>
        <v>0</v>
      </c>
    </row>
    <row r="508" spans="28:28">
      <c r="AB508" s="313">
        <f t="shared" si="95"/>
        <v>0</v>
      </c>
    </row>
    <row r="509" spans="28:28">
      <c r="AB509" s="313">
        <f t="shared" si="95"/>
        <v>0</v>
      </c>
    </row>
    <row r="510" spans="28:28">
      <c r="AB510" s="313">
        <f t="shared" si="95"/>
        <v>0</v>
      </c>
    </row>
    <row r="511" spans="28:28">
      <c r="AB511" s="313">
        <f t="shared" si="95"/>
        <v>0</v>
      </c>
    </row>
    <row r="512" spans="28:28">
      <c r="AB512" s="313">
        <f t="shared" si="95"/>
        <v>0</v>
      </c>
    </row>
    <row r="513" spans="28:28">
      <c r="AB513" s="313">
        <f t="shared" si="95"/>
        <v>0</v>
      </c>
    </row>
    <row r="514" spans="28:28">
      <c r="AB514" s="313">
        <f t="shared" si="95"/>
        <v>0</v>
      </c>
    </row>
    <row r="515" spans="28:28">
      <c r="AB515" s="313">
        <f t="shared" si="95"/>
        <v>0</v>
      </c>
    </row>
    <row r="516" spans="28:28">
      <c r="AB516" s="313">
        <f t="shared" si="95"/>
        <v>0</v>
      </c>
    </row>
    <row r="517" spans="28:28">
      <c r="AB517" s="313">
        <f t="shared" si="95"/>
        <v>0</v>
      </c>
    </row>
    <row r="518" spans="28:28">
      <c r="AB518" s="313">
        <f t="shared" si="95"/>
        <v>0</v>
      </c>
    </row>
    <row r="519" spans="28:28">
      <c r="AB519" s="313">
        <f t="shared" si="95"/>
        <v>0</v>
      </c>
    </row>
    <row r="520" spans="28:28">
      <c r="AB520" s="313">
        <f t="shared" si="95"/>
        <v>0</v>
      </c>
    </row>
    <row r="521" spans="28:28">
      <c r="AB521" s="313">
        <f t="shared" si="95"/>
        <v>0</v>
      </c>
    </row>
    <row r="522" spans="28:28">
      <c r="AB522" s="313">
        <f t="shared" si="95"/>
        <v>0</v>
      </c>
    </row>
    <row r="523" spans="28:28">
      <c r="AB523" s="313">
        <f t="shared" si="95"/>
        <v>0</v>
      </c>
    </row>
    <row r="524" spans="28:28">
      <c r="AB524" s="313">
        <f t="shared" si="95"/>
        <v>0</v>
      </c>
    </row>
    <row r="525" spans="28:28">
      <c r="AB525" s="313">
        <f t="shared" ref="AB525:AB565" si="96">M525-L525</f>
        <v>0</v>
      </c>
    </row>
    <row r="526" spans="28:28">
      <c r="AB526" s="313">
        <f t="shared" si="96"/>
        <v>0</v>
      </c>
    </row>
    <row r="527" spans="28:28">
      <c r="AB527" s="313">
        <f t="shared" si="96"/>
        <v>0</v>
      </c>
    </row>
    <row r="528" spans="28:28">
      <c r="AB528" s="313">
        <f t="shared" si="96"/>
        <v>0</v>
      </c>
    </row>
    <row r="529" spans="28:28">
      <c r="AB529" s="313">
        <f t="shared" si="96"/>
        <v>0</v>
      </c>
    </row>
    <row r="530" spans="28:28">
      <c r="AB530" s="313">
        <f t="shared" si="96"/>
        <v>0</v>
      </c>
    </row>
    <row r="531" spans="28:28">
      <c r="AB531" s="313">
        <f t="shared" si="96"/>
        <v>0</v>
      </c>
    </row>
    <row r="532" spans="28:28">
      <c r="AB532" s="313">
        <f t="shared" si="96"/>
        <v>0</v>
      </c>
    </row>
    <row r="533" spans="28:28">
      <c r="AB533" s="313">
        <f t="shared" si="96"/>
        <v>0</v>
      </c>
    </row>
    <row r="534" spans="28:28">
      <c r="AB534" s="313">
        <f t="shared" si="96"/>
        <v>0</v>
      </c>
    </row>
    <row r="535" spans="28:28">
      <c r="AB535" s="313">
        <f t="shared" si="96"/>
        <v>0</v>
      </c>
    </row>
    <row r="536" spans="28:28">
      <c r="AB536" s="313">
        <f t="shared" si="96"/>
        <v>0</v>
      </c>
    </row>
    <row r="537" spans="28:28">
      <c r="AB537" s="313">
        <f t="shared" si="96"/>
        <v>0</v>
      </c>
    </row>
    <row r="538" spans="28:28">
      <c r="AB538" s="313">
        <f t="shared" si="96"/>
        <v>0</v>
      </c>
    </row>
    <row r="539" spans="28:28">
      <c r="AB539" s="313">
        <f t="shared" si="96"/>
        <v>0</v>
      </c>
    </row>
    <row r="540" spans="28:28">
      <c r="AB540" s="313">
        <f t="shared" si="96"/>
        <v>0</v>
      </c>
    </row>
    <row r="541" spans="28:28">
      <c r="AB541" s="313">
        <f t="shared" si="96"/>
        <v>0</v>
      </c>
    </row>
    <row r="542" spans="28:28">
      <c r="AB542" s="313">
        <f t="shared" si="96"/>
        <v>0</v>
      </c>
    </row>
    <row r="543" spans="28:28">
      <c r="AB543" s="313">
        <f t="shared" si="96"/>
        <v>0</v>
      </c>
    </row>
    <row r="544" spans="28:28">
      <c r="AB544" s="313">
        <f t="shared" si="96"/>
        <v>0</v>
      </c>
    </row>
    <row r="545" spans="28:28">
      <c r="AB545" s="313">
        <f t="shared" si="96"/>
        <v>0</v>
      </c>
    </row>
    <row r="546" spans="28:28">
      <c r="AB546" s="313">
        <f t="shared" si="96"/>
        <v>0</v>
      </c>
    </row>
    <row r="547" spans="28:28">
      <c r="AB547" s="313">
        <f t="shared" si="96"/>
        <v>0</v>
      </c>
    </row>
    <row r="548" spans="28:28">
      <c r="AB548" s="313">
        <f t="shared" si="96"/>
        <v>0</v>
      </c>
    </row>
    <row r="549" spans="28:28">
      <c r="AB549" s="313">
        <f t="shared" si="96"/>
        <v>0</v>
      </c>
    </row>
    <row r="550" spans="28:28">
      <c r="AB550" s="313">
        <f t="shared" si="96"/>
        <v>0</v>
      </c>
    </row>
    <row r="551" spans="28:28">
      <c r="AB551" s="313">
        <f t="shared" si="96"/>
        <v>0</v>
      </c>
    </row>
    <row r="552" spans="28:28">
      <c r="AB552" s="313">
        <f t="shared" si="96"/>
        <v>0</v>
      </c>
    </row>
    <row r="553" spans="28:28">
      <c r="AB553" s="313">
        <f t="shared" si="96"/>
        <v>0</v>
      </c>
    </row>
    <row r="554" spans="28:28">
      <c r="AB554" s="313">
        <f t="shared" si="96"/>
        <v>0</v>
      </c>
    </row>
    <row r="555" spans="28:28">
      <c r="AB555" s="313">
        <f t="shared" si="96"/>
        <v>0</v>
      </c>
    </row>
    <row r="556" spans="28:28">
      <c r="AB556" s="313">
        <f t="shared" si="96"/>
        <v>0</v>
      </c>
    </row>
    <row r="557" spans="28:28">
      <c r="AB557" s="313">
        <f t="shared" si="96"/>
        <v>0</v>
      </c>
    </row>
    <row r="558" spans="28:28">
      <c r="AB558" s="313">
        <f t="shared" si="96"/>
        <v>0</v>
      </c>
    </row>
    <row r="559" spans="28:28">
      <c r="AB559" s="313">
        <f t="shared" si="96"/>
        <v>0</v>
      </c>
    </row>
    <row r="560" spans="28:28">
      <c r="AB560" s="313">
        <f t="shared" si="96"/>
        <v>0</v>
      </c>
    </row>
    <row r="561" spans="28:28">
      <c r="AB561" s="313">
        <f t="shared" si="96"/>
        <v>0</v>
      </c>
    </row>
    <row r="562" spans="28:28">
      <c r="AB562" s="313">
        <f t="shared" si="96"/>
        <v>0</v>
      </c>
    </row>
    <row r="563" spans="28:28">
      <c r="AB563" s="313">
        <f t="shared" si="96"/>
        <v>0</v>
      </c>
    </row>
    <row r="564" spans="28:28">
      <c r="AB564" s="313">
        <f t="shared" si="96"/>
        <v>0</v>
      </c>
    </row>
    <row r="565" spans="28:28">
      <c r="AB565" s="313">
        <f t="shared" si="96"/>
        <v>0</v>
      </c>
    </row>
  </sheetData>
  <conditionalFormatting sqref="B1:C1048576">
    <cfRule type="containsText" dxfId="1" priority="1" operator="containsText" text="unit">
      <formula>NOT(ISERROR(SEARCH("unit",B1)))</formula>
    </cfRule>
  </conditionalFormatting>
  <pageMargins left="0.7" right="0.7" top="0.75" bottom="0.75" header="0.3" footer="0.3"/>
  <pageSetup paperSize="9" orientation="portrait"/>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037F0-E0B4-4855-8C5D-DCF161A34A3C}">
  <dimension ref="A1:O45"/>
  <sheetViews>
    <sheetView topLeftCell="A26" workbookViewId="0">
      <selection activeCell="H13" sqref="H13"/>
    </sheetView>
  </sheetViews>
  <sheetFormatPr defaultColWidth="8.85546875" defaultRowHeight="14.45"/>
  <cols>
    <col min="1" max="1" width="30.28515625" style="24" customWidth="1"/>
    <col min="2" max="2" width="43.42578125" style="24" bestFit="1" customWidth="1"/>
    <col min="3" max="3" width="10.140625" style="24" customWidth="1"/>
    <col min="4" max="4" width="31" style="24" bestFit="1" customWidth="1"/>
    <col min="5" max="5" width="12" style="24" customWidth="1"/>
    <col min="6" max="7" width="8.85546875" style="24"/>
    <col min="8" max="8" width="16.140625" style="24" customWidth="1"/>
    <col min="9" max="11" width="8.85546875" style="24"/>
    <col min="12" max="13" width="11.28515625" style="24" customWidth="1"/>
    <col min="14" max="14" width="12.140625" style="24" customWidth="1"/>
    <col min="15" max="15" width="15.7109375" style="24" customWidth="1"/>
    <col min="16" max="16384" width="8.85546875" style="24"/>
  </cols>
  <sheetData>
    <row r="1" spans="1:15">
      <c r="A1" s="24" t="s">
        <v>0</v>
      </c>
      <c r="B1" s="24">
        <v>13</v>
      </c>
      <c r="C1" s="25"/>
      <c r="O1" s="27" t="str">
        <f ca="1">UPPER(CONCATENATE(DEC2HEX(RANDBETWEEN(0,POWER(16,8)),8),DEC2HEX(RANDBETWEEN(0,POWER(16,4)),4),"4",DEC2HEX(RANDBETWEEN(0,POWER(16,3)),3),DEC2HEX(RANDBETWEEN(8,11)),DEC2HEX(RANDBETWEEN(0,POWER(16,3)),3),DEC2HEX(RANDBETWEEN(0,POWER(16,8)),8),DEC2HEX(RANDBETWEEN(0,POWER(16,4)),4)))</f>
        <v>B7B1E34120EF447A9F444C87F566754F</v>
      </c>
    </row>
    <row r="2" spans="1:15" ht="15.6">
      <c r="A2" s="28" t="s">
        <v>5</v>
      </c>
      <c r="B2" s="28" t="s">
        <v>669</v>
      </c>
      <c r="C2" s="29"/>
      <c r="D2" s="30"/>
      <c r="E2" s="30"/>
      <c r="F2" s="30"/>
      <c r="G2" s="30"/>
      <c r="H2" s="30"/>
      <c r="I2" s="30"/>
      <c r="J2" s="30"/>
      <c r="K2" s="30"/>
      <c r="L2" s="30"/>
      <c r="M2" s="30"/>
      <c r="N2" s="30"/>
    </row>
    <row r="3" spans="1:15" s="27" customFormat="1" ht="12.95">
      <c r="A3" s="27" t="s">
        <v>7</v>
      </c>
      <c r="B3" s="27" t="s">
        <v>670</v>
      </c>
    </row>
    <row r="4" spans="1:15" s="27" customFormat="1" ht="12.95">
      <c r="A4" s="27" t="s">
        <v>9</v>
      </c>
      <c r="B4" s="27" t="s">
        <v>671</v>
      </c>
    </row>
    <row r="5" spans="1:15" s="27" customFormat="1" ht="12.95">
      <c r="A5" s="27" t="s">
        <v>11</v>
      </c>
      <c r="B5" s="27" t="s">
        <v>672</v>
      </c>
    </row>
    <row r="6" spans="1:15" s="27" customFormat="1" ht="12.95">
      <c r="A6" s="27" t="s">
        <v>13</v>
      </c>
      <c r="B6" s="27" t="s">
        <v>14</v>
      </c>
    </row>
    <row r="7" spans="1:15" s="27" customFormat="1" ht="12.95">
      <c r="A7" s="27" t="s">
        <v>15</v>
      </c>
      <c r="B7" s="37">
        <v>1</v>
      </c>
    </row>
    <row r="8" spans="1:15" s="27" customFormat="1" ht="12.95">
      <c r="A8" s="27" t="s">
        <v>16</v>
      </c>
      <c r="B8" s="27" t="s">
        <v>17</v>
      </c>
    </row>
    <row r="9" spans="1:15" s="27" customFormat="1" ht="12.95">
      <c r="A9" s="27" t="s">
        <v>18</v>
      </c>
      <c r="B9" s="27" t="s">
        <v>18</v>
      </c>
    </row>
    <row r="10" spans="1:15" ht="15.6">
      <c r="A10" s="26" t="s">
        <v>19</v>
      </c>
    </row>
    <row r="11" spans="1:15"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row>
    <row r="12" spans="1:15" s="27" customFormat="1" ht="12.95">
      <c r="A12" s="27" t="str">
        <f>B2</f>
        <v>production of cryogenic insulated LH2 storage system</v>
      </c>
      <c r="B12" s="27">
        <f>B7</f>
        <v>1</v>
      </c>
      <c r="C12" s="27" t="str">
        <f>B9</f>
        <v>unit</v>
      </c>
      <c r="D12" s="27" t="s">
        <v>2</v>
      </c>
      <c r="E12" s="27" t="s">
        <v>29</v>
      </c>
      <c r="F12" s="27" t="str">
        <f>B6</f>
        <v>EUR</v>
      </c>
      <c r="G12" s="27" t="s">
        <v>30</v>
      </c>
      <c r="H12" s="27">
        <v>0</v>
      </c>
      <c r="I12" s="27">
        <f>B12</f>
        <v>1</v>
      </c>
      <c r="J12" s="27" t="s">
        <v>31</v>
      </c>
      <c r="K12" s="27" t="s">
        <v>31</v>
      </c>
      <c r="L12" s="27" t="s">
        <v>31</v>
      </c>
      <c r="M12" s="27" t="s">
        <v>31</v>
      </c>
    </row>
    <row r="13" spans="1:15" s="27" customFormat="1" ht="12.95">
      <c r="A13" s="37" t="s">
        <v>673</v>
      </c>
      <c r="B13" s="42">
        <f>1*2</f>
        <v>2</v>
      </c>
      <c r="C13" s="27" t="s">
        <v>18</v>
      </c>
      <c r="D13" s="27" t="s">
        <v>2</v>
      </c>
      <c r="E13" s="27" t="s">
        <v>29</v>
      </c>
      <c r="F13" s="27" t="s">
        <v>14</v>
      </c>
      <c r="G13" s="27" t="s">
        <v>33</v>
      </c>
      <c r="H13" s="27">
        <v>0</v>
      </c>
      <c r="I13" s="27">
        <f t="shared" ref="I13:I14" si="0">B13</f>
        <v>2</v>
      </c>
      <c r="J13" s="27" t="s">
        <v>31</v>
      </c>
      <c r="K13" s="27" t="s">
        <v>31</v>
      </c>
      <c r="L13" s="27" t="s">
        <v>31</v>
      </c>
      <c r="M13" s="27" t="s">
        <v>31</v>
      </c>
      <c r="N13" s="27" t="s">
        <v>674</v>
      </c>
    </row>
    <row r="14" spans="1:15" s="27" customFormat="1" ht="12.95">
      <c r="A14" s="37" t="s">
        <v>675</v>
      </c>
      <c r="B14" s="42">
        <f>1*4</f>
        <v>4</v>
      </c>
      <c r="C14" s="27" t="s">
        <v>18</v>
      </c>
      <c r="D14" s="27" t="s">
        <v>2</v>
      </c>
      <c r="E14" s="27" t="s">
        <v>29</v>
      </c>
      <c r="F14" s="27" t="s">
        <v>14</v>
      </c>
      <c r="G14" s="27" t="s">
        <v>33</v>
      </c>
      <c r="H14" s="27">
        <v>0</v>
      </c>
      <c r="I14" s="27">
        <f t="shared" si="0"/>
        <v>4</v>
      </c>
      <c r="J14" s="27" t="s">
        <v>31</v>
      </c>
      <c r="K14" s="27" t="s">
        <v>31</v>
      </c>
      <c r="L14" s="27" t="s">
        <v>31</v>
      </c>
      <c r="M14" s="27" t="s">
        <v>31</v>
      </c>
      <c r="N14" s="27" t="s">
        <v>676</v>
      </c>
    </row>
    <row r="15" spans="1:15" ht="15.6">
      <c r="A15" s="28" t="s">
        <v>5</v>
      </c>
      <c r="B15" s="28" t="s">
        <v>673</v>
      </c>
      <c r="C15" s="29"/>
      <c r="D15" s="30"/>
      <c r="E15" s="30"/>
      <c r="F15" s="30"/>
      <c r="G15" s="30"/>
      <c r="H15" s="30"/>
      <c r="I15" s="30"/>
      <c r="J15" s="30"/>
      <c r="K15" s="30"/>
      <c r="L15" s="30"/>
      <c r="M15" s="30"/>
      <c r="N15" s="30"/>
    </row>
    <row r="16" spans="1:15" s="27" customFormat="1" ht="12.95">
      <c r="A16" s="27" t="s">
        <v>7</v>
      </c>
      <c r="B16" s="27" t="s">
        <v>670</v>
      </c>
    </row>
    <row r="17" spans="1:14" s="27" customFormat="1" ht="12.95">
      <c r="A17" s="27" t="s">
        <v>9</v>
      </c>
      <c r="B17" s="27" t="s">
        <v>677</v>
      </c>
    </row>
    <row r="18" spans="1:14" s="27" customFormat="1" ht="12.95">
      <c r="A18" s="27" t="s">
        <v>11</v>
      </c>
      <c r="B18" s="27" t="s">
        <v>678</v>
      </c>
    </row>
    <row r="19" spans="1:14" s="27" customFormat="1" ht="12.95">
      <c r="A19" s="27" t="s">
        <v>13</v>
      </c>
      <c r="B19" s="27" t="s">
        <v>14</v>
      </c>
    </row>
    <row r="20" spans="1:14" s="27" customFormat="1" ht="12.95">
      <c r="A20" s="27" t="s">
        <v>15</v>
      </c>
      <c r="B20" s="37">
        <v>1</v>
      </c>
    </row>
    <row r="21" spans="1:14" s="27" customFormat="1" ht="12.95">
      <c r="A21" s="27" t="s">
        <v>16</v>
      </c>
      <c r="B21" s="27" t="s">
        <v>17</v>
      </c>
    </row>
    <row r="22" spans="1:14" s="27" customFormat="1" ht="12.95">
      <c r="A22" s="27" t="s">
        <v>18</v>
      </c>
      <c r="B22" s="27" t="s">
        <v>18</v>
      </c>
    </row>
    <row r="23" spans="1:14" ht="15.6">
      <c r="A23" s="26" t="s">
        <v>19</v>
      </c>
    </row>
    <row r="24" spans="1:14" ht="15.6">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187</v>
      </c>
    </row>
    <row r="25" spans="1:14" s="27" customFormat="1" ht="12.95">
      <c r="A25" s="37" t="str">
        <f>B15</f>
        <v>production of tank</v>
      </c>
      <c r="B25" s="27">
        <f>B20</f>
        <v>1</v>
      </c>
      <c r="C25" s="27" t="str">
        <f>B22</f>
        <v>unit</v>
      </c>
      <c r="D25" s="27" t="s">
        <v>2</v>
      </c>
      <c r="E25" s="27" t="s">
        <v>29</v>
      </c>
      <c r="F25" s="27" t="str">
        <f>B19</f>
        <v>EUR</v>
      </c>
      <c r="G25" s="27" t="s">
        <v>30</v>
      </c>
      <c r="H25" s="27">
        <v>0</v>
      </c>
      <c r="I25" s="27">
        <f t="shared" ref="I25:I28" si="1">B25</f>
        <v>1</v>
      </c>
      <c r="J25" s="27" t="s">
        <v>31</v>
      </c>
      <c r="K25" s="27" t="s">
        <v>31</v>
      </c>
      <c r="L25" s="27" t="s">
        <v>31</v>
      </c>
      <c r="M25" s="27" t="s">
        <v>31</v>
      </c>
    </row>
    <row r="26" spans="1:14" s="27" customFormat="1" ht="12.95">
      <c r="A26" s="37" t="s">
        <v>97</v>
      </c>
      <c r="B26" s="27">
        <v>18.7</v>
      </c>
      <c r="C26" s="27" t="s">
        <v>37</v>
      </c>
      <c r="D26" s="27" t="s">
        <v>40</v>
      </c>
      <c r="E26" s="27" t="s">
        <v>29</v>
      </c>
      <c r="F26" s="27" t="s">
        <v>59</v>
      </c>
      <c r="G26" s="27" t="s">
        <v>33</v>
      </c>
      <c r="H26" s="27">
        <v>5</v>
      </c>
      <c r="I26" s="27">
        <f t="shared" si="1"/>
        <v>18.7</v>
      </c>
      <c r="J26" s="27" t="s">
        <v>31</v>
      </c>
      <c r="K26" s="27" t="s">
        <v>31</v>
      </c>
      <c r="L26" s="27">
        <f>B26*(1-0.2)</f>
        <v>14.96</v>
      </c>
      <c r="M26" s="27">
        <f>B26*(1+0.2)</f>
        <v>22.439999999999998</v>
      </c>
    </row>
    <row r="27" spans="1:14" s="27" customFormat="1" ht="12.95">
      <c r="A27" s="37" t="s">
        <v>85</v>
      </c>
      <c r="B27" s="27">
        <f>40-35</f>
        <v>5</v>
      </c>
      <c r="C27" s="27" t="s">
        <v>37</v>
      </c>
      <c r="D27" s="27" t="s">
        <v>40</v>
      </c>
      <c r="E27" s="27" t="s">
        <v>29</v>
      </c>
      <c r="F27" s="27" t="s">
        <v>59</v>
      </c>
      <c r="G27" s="27" t="s">
        <v>33</v>
      </c>
      <c r="H27" s="27">
        <v>5</v>
      </c>
      <c r="I27" s="27">
        <f t="shared" si="1"/>
        <v>5</v>
      </c>
      <c r="J27" s="27" t="s">
        <v>31</v>
      </c>
      <c r="K27" s="27" t="s">
        <v>31</v>
      </c>
      <c r="L27" s="27">
        <f>B27*(1-0.1)</f>
        <v>4.5</v>
      </c>
      <c r="M27" s="27">
        <f>B27*(1+0.1)</f>
        <v>5.5</v>
      </c>
    </row>
    <row r="28" spans="1:14" s="27" customFormat="1" ht="12.95">
      <c r="A28" s="37" t="s">
        <v>679</v>
      </c>
      <c r="B28" s="27">
        <v>100.4</v>
      </c>
      <c r="C28" s="27" t="s">
        <v>37</v>
      </c>
      <c r="D28" s="27" t="s">
        <v>40</v>
      </c>
      <c r="E28" s="27" t="s">
        <v>29</v>
      </c>
      <c r="F28" s="27" t="s">
        <v>59</v>
      </c>
      <c r="G28" s="27" t="s">
        <v>33</v>
      </c>
      <c r="H28" s="27">
        <v>5</v>
      </c>
      <c r="I28" s="27">
        <f t="shared" si="1"/>
        <v>100.4</v>
      </c>
      <c r="J28" s="27" t="s">
        <v>31</v>
      </c>
      <c r="K28" s="27" t="s">
        <v>31</v>
      </c>
      <c r="L28" s="27">
        <f>B28*(1-0.1)</f>
        <v>90.360000000000014</v>
      </c>
      <c r="M28" s="27">
        <f>B28*(1+0.1)</f>
        <v>110.44000000000001</v>
      </c>
    </row>
    <row r="29" spans="1:14" s="27" customFormat="1" ht="12.95">
      <c r="A29" s="37" t="s">
        <v>680</v>
      </c>
      <c r="B29" s="27">
        <f>250*0.791/1000</f>
        <v>0.19775000000000001</v>
      </c>
      <c r="C29" s="27" t="s">
        <v>37</v>
      </c>
      <c r="D29" s="27" t="s">
        <v>40</v>
      </c>
      <c r="E29" s="27" t="s">
        <v>29</v>
      </c>
      <c r="F29" s="27" t="s">
        <v>35</v>
      </c>
      <c r="G29" s="27" t="s">
        <v>33</v>
      </c>
      <c r="H29" s="27">
        <v>5</v>
      </c>
      <c r="I29" s="27">
        <f>B29</f>
        <v>0.19775000000000001</v>
      </c>
      <c r="J29" s="27" t="s">
        <v>31</v>
      </c>
      <c r="K29" s="27" t="s">
        <v>31</v>
      </c>
      <c r="L29" s="27">
        <f>B29*(1-0.1)</f>
        <v>0.17797500000000002</v>
      </c>
      <c r="M29" s="27">
        <f>B29*(1+0.1)</f>
        <v>0.21752500000000002</v>
      </c>
      <c r="N29" s="27" t="s">
        <v>681</v>
      </c>
    </row>
    <row r="30" spans="1:14" s="27" customFormat="1" ht="12.95">
      <c r="A30" s="37" t="s">
        <v>682</v>
      </c>
      <c r="B30" s="27">
        <v>0.3</v>
      </c>
      <c r="C30" s="27" t="s">
        <v>37</v>
      </c>
      <c r="D30" s="27" t="s">
        <v>40</v>
      </c>
      <c r="E30" s="27" t="s">
        <v>29</v>
      </c>
      <c r="F30" s="27" t="s">
        <v>35</v>
      </c>
      <c r="G30" s="27" t="s">
        <v>33</v>
      </c>
      <c r="H30" s="27">
        <v>5</v>
      </c>
      <c r="I30" s="27">
        <f t="shared" ref="I30:I32" si="2">B30</f>
        <v>0.3</v>
      </c>
      <c r="J30" s="27" t="s">
        <v>31</v>
      </c>
      <c r="K30" s="27" t="s">
        <v>31</v>
      </c>
      <c r="L30" s="27">
        <f>B30*(1-0.1)</f>
        <v>0.27</v>
      </c>
      <c r="M30" s="27">
        <f>B30*(1+0.1)</f>
        <v>0.33</v>
      </c>
    </row>
    <row r="31" spans="1:14" s="27" customFormat="1" ht="12.95">
      <c r="A31" s="37" t="s">
        <v>38</v>
      </c>
      <c r="B31" s="27">
        <v>344</v>
      </c>
      <c r="C31" s="27" t="s">
        <v>39</v>
      </c>
      <c r="D31" s="27" t="s">
        <v>40</v>
      </c>
      <c r="E31" s="27" t="s">
        <v>29</v>
      </c>
      <c r="F31" s="27" t="s">
        <v>14</v>
      </c>
      <c r="G31" s="27" t="s">
        <v>33</v>
      </c>
      <c r="H31" s="27">
        <v>5</v>
      </c>
      <c r="I31" s="27">
        <f t="shared" si="2"/>
        <v>344</v>
      </c>
      <c r="J31" s="27" t="s">
        <v>31</v>
      </c>
      <c r="K31" s="27" t="s">
        <v>31</v>
      </c>
      <c r="L31" s="27">
        <f>B31*(1-0.1)</f>
        <v>309.60000000000002</v>
      </c>
      <c r="M31" s="27">
        <f>B31*(1+0.1)</f>
        <v>378.40000000000003</v>
      </c>
      <c r="N31" s="27" t="s">
        <v>683</v>
      </c>
    </row>
    <row r="32" spans="1:14" s="27" customFormat="1" ht="12.95">
      <c r="A32" s="37" t="s">
        <v>70</v>
      </c>
      <c r="B32" s="27">
        <f>806.4*3.6</f>
        <v>2903.04</v>
      </c>
      <c r="C32" s="27" t="s">
        <v>71</v>
      </c>
      <c r="D32" s="27" t="s">
        <v>40</v>
      </c>
      <c r="E32" s="27" t="s">
        <v>29</v>
      </c>
      <c r="F32" s="27" t="s">
        <v>59</v>
      </c>
      <c r="G32" s="27" t="s">
        <v>33</v>
      </c>
      <c r="H32" s="27">
        <v>5</v>
      </c>
      <c r="I32" s="27">
        <f t="shared" si="2"/>
        <v>2903.04</v>
      </c>
      <c r="J32" s="27" t="s">
        <v>31</v>
      </c>
      <c r="K32" s="27" t="s">
        <v>31</v>
      </c>
      <c r="L32" s="27">
        <f>B32*(1-0.01)</f>
        <v>2874.0095999999999</v>
      </c>
      <c r="M32" s="27">
        <f>B32*(1+0.01)</f>
        <v>2932.0704000000001</v>
      </c>
      <c r="N32" s="27" t="s">
        <v>684</v>
      </c>
    </row>
    <row r="33" spans="1:14" ht="15.6">
      <c r="A33" s="28" t="s">
        <v>5</v>
      </c>
      <c r="B33" s="28" t="s">
        <v>675</v>
      </c>
      <c r="C33" s="29"/>
      <c r="D33" s="30"/>
      <c r="E33" s="30"/>
      <c r="F33" s="30"/>
      <c r="G33" s="30"/>
      <c r="H33" s="30"/>
      <c r="I33" s="30"/>
      <c r="J33" s="30"/>
      <c r="K33" s="30"/>
      <c r="L33" s="30"/>
      <c r="M33" s="30"/>
      <c r="N33" s="30"/>
    </row>
    <row r="34" spans="1:14" s="27" customFormat="1" ht="12.95">
      <c r="A34" s="27" t="s">
        <v>7</v>
      </c>
      <c r="B34" s="27" t="s">
        <v>670</v>
      </c>
    </row>
    <row r="35" spans="1:14" s="27" customFormat="1" ht="12.95">
      <c r="A35" s="27" t="s">
        <v>9</v>
      </c>
      <c r="B35" s="27" t="s">
        <v>685</v>
      </c>
    </row>
    <row r="36" spans="1:14" s="27" customFormat="1" ht="12.95">
      <c r="A36" s="27" t="s">
        <v>11</v>
      </c>
      <c r="B36" s="27" t="s">
        <v>686</v>
      </c>
    </row>
    <row r="37" spans="1:14" s="27" customFormat="1" ht="12.95">
      <c r="A37" s="27" t="s">
        <v>13</v>
      </c>
      <c r="B37" s="27" t="s">
        <v>14</v>
      </c>
    </row>
    <row r="38" spans="1:14" s="27" customFormat="1" ht="12.95">
      <c r="A38" s="27" t="s">
        <v>15</v>
      </c>
      <c r="B38" s="37">
        <v>1</v>
      </c>
    </row>
    <row r="39" spans="1:14" s="27" customFormat="1" ht="12.95">
      <c r="A39" s="27" t="s">
        <v>16</v>
      </c>
      <c r="B39" s="27" t="s">
        <v>17</v>
      </c>
    </row>
    <row r="40" spans="1:14" s="27" customFormat="1" ht="12.95">
      <c r="A40" s="27" t="s">
        <v>18</v>
      </c>
      <c r="B40" s="27" t="s">
        <v>18</v>
      </c>
    </row>
    <row r="41" spans="1:14" ht="15.6">
      <c r="A41" s="26" t="s">
        <v>19</v>
      </c>
    </row>
    <row r="42" spans="1:14" ht="15.6">
      <c r="A42" s="26" t="s">
        <v>20</v>
      </c>
      <c r="B42" s="26" t="s">
        <v>21</v>
      </c>
      <c r="C42" s="26" t="s">
        <v>18</v>
      </c>
      <c r="D42" s="26" t="s">
        <v>22</v>
      </c>
      <c r="E42" s="26" t="s">
        <v>7</v>
      </c>
      <c r="F42" s="26" t="s">
        <v>13</v>
      </c>
      <c r="G42" s="26" t="s">
        <v>16</v>
      </c>
      <c r="H42" s="26" t="s">
        <v>23</v>
      </c>
      <c r="I42" s="26" t="s">
        <v>24</v>
      </c>
      <c r="J42" s="26" t="s">
        <v>25</v>
      </c>
      <c r="K42" s="26" t="s">
        <v>26</v>
      </c>
      <c r="L42" s="26" t="s">
        <v>27</v>
      </c>
      <c r="M42" s="26" t="s">
        <v>28</v>
      </c>
      <c r="N42" s="26" t="s">
        <v>187</v>
      </c>
    </row>
    <row r="43" spans="1:14" s="27" customFormat="1" ht="12.95">
      <c r="A43" s="27" t="str">
        <f>B33</f>
        <v>production of vacuum pump</v>
      </c>
      <c r="B43" s="27">
        <f>B38</f>
        <v>1</v>
      </c>
      <c r="C43" s="27" t="str">
        <f>B40</f>
        <v>unit</v>
      </c>
      <c r="D43" s="27" t="s">
        <v>2</v>
      </c>
      <c r="E43" s="27" t="s">
        <v>29</v>
      </c>
      <c r="F43" s="27" t="str">
        <f>B37</f>
        <v>EUR</v>
      </c>
      <c r="G43" s="27" t="s">
        <v>30</v>
      </c>
      <c r="H43" s="27">
        <v>0</v>
      </c>
      <c r="I43" s="27">
        <f>B43</f>
        <v>1</v>
      </c>
      <c r="J43" s="27" t="s">
        <v>31</v>
      </c>
      <c r="K43" s="27" t="s">
        <v>31</v>
      </c>
      <c r="L43" s="27" t="s">
        <v>31</v>
      </c>
      <c r="M43" s="27" t="s">
        <v>31</v>
      </c>
    </row>
    <row r="44" spans="1:14" s="27" customFormat="1" ht="12.95">
      <c r="A44" s="27" t="s">
        <v>687</v>
      </c>
      <c r="B44" s="27">
        <v>9.5</v>
      </c>
      <c r="C44" s="27" t="s">
        <v>37</v>
      </c>
      <c r="D44" s="27" t="s">
        <v>40</v>
      </c>
      <c r="E44" s="27" t="s">
        <v>29</v>
      </c>
      <c r="F44" s="27" t="s">
        <v>59</v>
      </c>
      <c r="G44" s="27" t="s">
        <v>33</v>
      </c>
      <c r="H44" s="27">
        <v>2</v>
      </c>
      <c r="I44" s="27">
        <f>LN(B44)</f>
        <v>2.2512917986064953</v>
      </c>
      <c r="J44" s="27">
        <v>0.45825756899999998</v>
      </c>
      <c r="K44" s="27" t="s">
        <v>31</v>
      </c>
      <c r="L44" s="27" t="s">
        <v>31</v>
      </c>
      <c r="M44" s="27" t="s">
        <v>31</v>
      </c>
    </row>
    <row r="45" spans="1:14" s="27" customFormat="1" ht="12.95">
      <c r="A45" s="27" t="s">
        <v>688</v>
      </c>
      <c r="B45" s="27">
        <v>0.5</v>
      </c>
      <c r="C45" s="27" t="s">
        <v>37</v>
      </c>
      <c r="D45" s="27" t="s">
        <v>40</v>
      </c>
      <c r="E45" s="27" t="s">
        <v>29</v>
      </c>
      <c r="F45" s="27" t="s">
        <v>59</v>
      </c>
      <c r="G45" s="27" t="s">
        <v>33</v>
      </c>
      <c r="H45" s="27">
        <v>2</v>
      </c>
      <c r="I45" s="27">
        <f>LN(B45)</f>
        <v>-0.69314718055994529</v>
      </c>
      <c r="J45" s="27">
        <v>0.45825756899999998</v>
      </c>
      <c r="K45" s="27" t="s">
        <v>31</v>
      </c>
      <c r="L45" s="27" t="s">
        <v>31</v>
      </c>
      <c r="M45" s="27" t="s">
        <v>31</v>
      </c>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EFB48-ECB1-4053-9568-AA3C5336AB96}">
  <dimension ref="A1:Q109"/>
  <sheetViews>
    <sheetView zoomScaleNormal="100" workbookViewId="0">
      <selection activeCell="A12" sqref="A12"/>
    </sheetView>
  </sheetViews>
  <sheetFormatPr defaultColWidth="9.140625" defaultRowHeight="12.95"/>
  <cols>
    <col min="1" max="1" width="45.42578125" style="188" customWidth="1"/>
    <col min="2" max="2" width="53.42578125" style="188" customWidth="1"/>
    <col min="3" max="3" width="11.140625" style="188" customWidth="1"/>
    <col min="4" max="4" width="11.5703125" style="188" customWidth="1"/>
    <col min="5" max="5" width="28.5703125" style="188" customWidth="1"/>
    <col min="6" max="6" width="21.140625" style="188" customWidth="1"/>
    <col min="7" max="7" width="9.140625" style="188"/>
    <col min="8" max="8" width="16.85546875" style="188" customWidth="1"/>
    <col min="9" max="14" width="9.140625" style="188"/>
    <col min="15" max="16" width="49.140625" style="188" customWidth="1"/>
    <col min="17" max="16384" width="9.140625" style="188"/>
  </cols>
  <sheetData>
    <row r="1" spans="1:15" s="342" customFormat="1">
      <c r="A1" s="342" t="s">
        <v>0</v>
      </c>
      <c r="B1" s="342">
        <v>13</v>
      </c>
    </row>
    <row r="2" spans="1:15">
      <c r="A2" s="343" t="s">
        <v>5</v>
      </c>
      <c r="B2" s="344" t="s">
        <v>689</v>
      </c>
      <c r="C2" s="344"/>
      <c r="D2" s="345"/>
    </row>
    <row r="3" spans="1:15">
      <c r="A3" s="346" t="s">
        <v>7</v>
      </c>
      <c r="B3" s="188" t="s">
        <v>690</v>
      </c>
      <c r="D3" s="345"/>
    </row>
    <row r="4" spans="1:15" ht="14.45">
      <c r="A4" s="346" t="s">
        <v>9</v>
      </c>
      <c r="B4" s="22" t="s">
        <v>691</v>
      </c>
      <c r="D4" s="345"/>
    </row>
    <row r="5" spans="1:15" ht="26.1">
      <c r="A5" s="346" t="s">
        <v>11</v>
      </c>
      <c r="B5" s="347" t="s">
        <v>692</v>
      </c>
      <c r="C5" s="347"/>
    </row>
    <row r="6" spans="1:15">
      <c r="A6" s="346" t="s">
        <v>13</v>
      </c>
      <c r="B6" s="188" t="s">
        <v>14</v>
      </c>
    </row>
    <row r="7" spans="1:15">
      <c r="A7" s="346" t="s">
        <v>15</v>
      </c>
      <c r="B7" s="188">
        <v>1</v>
      </c>
    </row>
    <row r="8" spans="1:15">
      <c r="A8" s="346" t="s">
        <v>16</v>
      </c>
      <c r="B8" s="188" t="s">
        <v>17</v>
      </c>
    </row>
    <row r="9" spans="1:15">
      <c r="A9" s="346" t="s">
        <v>18</v>
      </c>
      <c r="B9" s="188" t="s">
        <v>18</v>
      </c>
    </row>
    <row r="10" spans="1:15">
      <c r="A10" s="343" t="s">
        <v>19</v>
      </c>
    </row>
    <row r="11" spans="1:15" ht="14.45">
      <c r="A11" s="343" t="s">
        <v>20</v>
      </c>
      <c r="B11" s="344" t="s">
        <v>21</v>
      </c>
      <c r="C11" s="77" t="s">
        <v>217</v>
      </c>
      <c r="D11" s="344" t="s">
        <v>18</v>
      </c>
      <c r="E11" s="344" t="s">
        <v>22</v>
      </c>
      <c r="F11" s="344" t="s">
        <v>7</v>
      </c>
      <c r="G11" s="344" t="s">
        <v>13</v>
      </c>
      <c r="H11" s="344" t="s">
        <v>16</v>
      </c>
      <c r="I11" s="344" t="s">
        <v>23</v>
      </c>
      <c r="J11" s="344" t="s">
        <v>24</v>
      </c>
      <c r="K11" s="344" t="s">
        <v>25</v>
      </c>
      <c r="L11" s="344" t="s">
        <v>26</v>
      </c>
      <c r="M11" s="344" t="s">
        <v>27</v>
      </c>
      <c r="N11" s="344" t="s">
        <v>28</v>
      </c>
      <c r="O11" s="344" t="s">
        <v>11</v>
      </c>
    </row>
    <row r="12" spans="1:15" s="348" customFormat="1">
      <c r="A12" s="348" t="s">
        <v>689</v>
      </c>
      <c r="B12" s="348">
        <v>1</v>
      </c>
      <c r="D12" s="348" t="s">
        <v>18</v>
      </c>
      <c r="E12" s="348" t="s">
        <v>2</v>
      </c>
      <c r="F12" s="348" t="s">
        <v>29</v>
      </c>
      <c r="G12" s="348" t="s">
        <v>14</v>
      </c>
      <c r="H12" s="348" t="s">
        <v>30</v>
      </c>
      <c r="I12" s="348">
        <v>1</v>
      </c>
      <c r="J12" s="348">
        <v>1</v>
      </c>
      <c r="K12" s="348" t="s">
        <v>31</v>
      </c>
      <c r="L12" s="348" t="s">
        <v>31</v>
      </c>
      <c r="M12" s="348" t="s">
        <v>31</v>
      </c>
      <c r="N12" s="348" t="s">
        <v>31</v>
      </c>
      <c r="O12" s="348" t="s">
        <v>693</v>
      </c>
    </row>
    <row r="13" spans="1:15" s="349" customFormat="1" ht="13.5" thickBot="1">
      <c r="A13" s="349" t="s">
        <v>694</v>
      </c>
      <c r="B13" s="349">
        <v>10</v>
      </c>
      <c r="D13" s="349" t="s">
        <v>18</v>
      </c>
      <c r="E13" s="349" t="s">
        <v>2</v>
      </c>
      <c r="F13" s="349" t="s">
        <v>29</v>
      </c>
      <c r="G13" s="349" t="s">
        <v>59</v>
      </c>
      <c r="H13" s="349" t="s">
        <v>33</v>
      </c>
      <c r="I13" s="349">
        <v>1</v>
      </c>
      <c r="J13" s="349">
        <v>1</v>
      </c>
      <c r="K13" s="349" t="s">
        <v>31</v>
      </c>
      <c r="L13" s="349" t="s">
        <v>31</v>
      </c>
      <c r="M13" s="349" t="s">
        <v>31</v>
      </c>
      <c r="N13" s="349" t="s">
        <v>31</v>
      </c>
    </row>
    <row r="14" spans="1:15">
      <c r="A14" s="343" t="s">
        <v>5</v>
      </c>
      <c r="B14" s="344" t="s">
        <v>694</v>
      </c>
      <c r="C14" s="344"/>
      <c r="D14" s="345"/>
    </row>
    <row r="15" spans="1:15">
      <c r="A15" s="346" t="s">
        <v>7</v>
      </c>
      <c r="B15" s="188" t="s">
        <v>690</v>
      </c>
      <c r="D15" s="345"/>
    </row>
    <row r="16" spans="1:15" ht="14.45">
      <c r="A16" s="346" t="s">
        <v>9</v>
      </c>
      <c r="B16" s="22" t="s">
        <v>695</v>
      </c>
      <c r="D16" s="345"/>
    </row>
    <row r="17" spans="1:15" ht="14.25" customHeight="1">
      <c r="A17" s="346" t="s">
        <v>11</v>
      </c>
      <c r="B17" s="347" t="s">
        <v>696</v>
      </c>
      <c r="C17" s="347"/>
    </row>
    <row r="18" spans="1:15">
      <c r="A18" s="346" t="s">
        <v>13</v>
      </c>
      <c r="B18" s="188" t="s">
        <v>59</v>
      </c>
    </row>
    <row r="19" spans="1:15">
      <c r="A19" s="346" t="s">
        <v>15</v>
      </c>
      <c r="B19" s="188">
        <v>1</v>
      </c>
    </row>
    <row r="20" spans="1:15">
      <c r="A20" s="346" t="s">
        <v>16</v>
      </c>
      <c r="B20" s="188" t="s">
        <v>17</v>
      </c>
    </row>
    <row r="21" spans="1:15">
      <c r="A21" s="346" t="s">
        <v>18</v>
      </c>
      <c r="B21" s="188" t="s">
        <v>18</v>
      </c>
    </row>
    <row r="22" spans="1:15">
      <c r="A22" s="343" t="s">
        <v>19</v>
      </c>
    </row>
    <row r="23" spans="1:15" ht="14.45">
      <c r="A23" s="343" t="s">
        <v>20</v>
      </c>
      <c r="B23" s="344" t="s">
        <v>21</v>
      </c>
      <c r="C23" s="77" t="s">
        <v>217</v>
      </c>
      <c r="D23" s="344" t="s">
        <v>18</v>
      </c>
      <c r="E23" s="344" t="s">
        <v>22</v>
      </c>
      <c r="F23" s="344" t="s">
        <v>7</v>
      </c>
      <c r="G23" s="344" t="s">
        <v>13</v>
      </c>
      <c r="H23" s="344" t="s">
        <v>16</v>
      </c>
      <c r="I23" s="344" t="s">
        <v>23</v>
      </c>
      <c r="J23" s="344" t="s">
        <v>24</v>
      </c>
      <c r="K23" s="344" t="s">
        <v>25</v>
      </c>
      <c r="L23" s="344" t="s">
        <v>26</v>
      </c>
      <c r="M23" s="344" t="s">
        <v>27</v>
      </c>
      <c r="N23" s="344" t="s">
        <v>28</v>
      </c>
      <c r="O23" s="344" t="s">
        <v>11</v>
      </c>
    </row>
    <row r="24" spans="1:15" s="348" customFormat="1">
      <c r="A24" s="348" t="s">
        <v>694</v>
      </c>
      <c r="B24" s="348">
        <v>1</v>
      </c>
      <c r="D24" s="348" t="s">
        <v>18</v>
      </c>
      <c r="E24" s="348" t="s">
        <v>2</v>
      </c>
      <c r="F24" s="348" t="s">
        <v>29</v>
      </c>
      <c r="G24" s="348" t="s">
        <v>59</v>
      </c>
      <c r="H24" s="348" t="s">
        <v>30</v>
      </c>
      <c r="I24" s="348">
        <v>1</v>
      </c>
      <c r="J24" s="348">
        <f>B24</f>
        <v>1</v>
      </c>
      <c r="K24" s="348" t="s">
        <v>31</v>
      </c>
      <c r="L24" s="348" t="s">
        <v>31</v>
      </c>
      <c r="M24" s="348" t="s">
        <v>31</v>
      </c>
      <c r="N24" s="348" t="s">
        <v>31</v>
      </c>
    </row>
    <row r="25" spans="1:15">
      <c r="A25" s="188" t="s">
        <v>697</v>
      </c>
      <c r="B25" s="188">
        <v>41.64</v>
      </c>
      <c r="D25" s="188" t="s">
        <v>37</v>
      </c>
      <c r="E25" s="188" t="s">
        <v>2</v>
      </c>
      <c r="F25" s="188" t="s">
        <v>29</v>
      </c>
      <c r="G25" s="188" t="s">
        <v>59</v>
      </c>
      <c r="H25" s="188" t="s">
        <v>33</v>
      </c>
      <c r="I25" s="188">
        <v>2</v>
      </c>
      <c r="J25" s="188">
        <f>LN(B25)</f>
        <v>3.7290612437467683</v>
      </c>
      <c r="K25" s="188">
        <v>0.34842502800000003</v>
      </c>
      <c r="L25" s="188" t="s">
        <v>31</v>
      </c>
      <c r="M25" s="188" t="s">
        <v>31</v>
      </c>
      <c r="N25" s="188" t="s">
        <v>31</v>
      </c>
    </row>
    <row r="26" spans="1:15">
      <c r="A26" s="188" t="s">
        <v>698</v>
      </c>
      <c r="B26" s="188">
        <v>5.19</v>
      </c>
      <c r="D26" s="188" t="s">
        <v>37</v>
      </c>
      <c r="E26" s="188" t="s">
        <v>2</v>
      </c>
      <c r="F26" s="188" t="s">
        <v>29</v>
      </c>
      <c r="G26" s="188" t="s">
        <v>59</v>
      </c>
      <c r="H26" s="188" t="s">
        <v>33</v>
      </c>
      <c r="I26" s="188">
        <v>2</v>
      </c>
      <c r="J26" s="188">
        <f t="shared" ref="J26:J27" si="0">LN(B26)</f>
        <v>1.6467336971777973</v>
      </c>
      <c r="K26" s="188">
        <v>0.34842502800000003</v>
      </c>
      <c r="L26" s="188" t="s">
        <v>31</v>
      </c>
      <c r="M26" s="188" t="s">
        <v>31</v>
      </c>
      <c r="N26" s="188" t="s">
        <v>31</v>
      </c>
    </row>
    <row r="27" spans="1:15" s="349" customFormat="1" ht="13.5" thickBot="1">
      <c r="A27" s="349" t="s">
        <v>699</v>
      </c>
      <c r="B27" s="349">
        <v>19.71</v>
      </c>
      <c r="D27" s="349" t="s">
        <v>37</v>
      </c>
      <c r="E27" s="349" t="s">
        <v>2</v>
      </c>
      <c r="F27" s="349" t="s">
        <v>29</v>
      </c>
      <c r="G27" s="349" t="s">
        <v>59</v>
      </c>
      <c r="H27" s="349" t="s">
        <v>33</v>
      </c>
      <c r="I27" s="349">
        <v>2</v>
      </c>
      <c r="J27" s="349">
        <f t="shared" si="0"/>
        <v>2.9811261211646287</v>
      </c>
      <c r="K27" s="349">
        <v>0.34842502800000003</v>
      </c>
      <c r="L27" s="349" t="s">
        <v>31</v>
      </c>
      <c r="M27" s="349" t="s">
        <v>31</v>
      </c>
      <c r="N27" s="349" t="s">
        <v>31</v>
      </c>
    </row>
    <row r="28" spans="1:15">
      <c r="A28" s="343" t="s">
        <v>5</v>
      </c>
      <c r="B28" s="344" t="s">
        <v>697</v>
      </c>
      <c r="C28" s="344"/>
      <c r="D28" s="345"/>
    </row>
    <row r="29" spans="1:15">
      <c r="A29" s="346" t="s">
        <v>7</v>
      </c>
      <c r="B29" s="188" t="s">
        <v>690</v>
      </c>
      <c r="D29" s="345"/>
    </row>
    <row r="30" spans="1:15">
      <c r="A30" s="346" t="s">
        <v>9</v>
      </c>
      <c r="B30" s="188" t="s">
        <v>700</v>
      </c>
      <c r="D30" s="345"/>
    </row>
    <row r="31" spans="1:15" ht="14.25" customHeight="1">
      <c r="A31" s="346" t="s">
        <v>11</v>
      </c>
      <c r="B31" s="347" t="s">
        <v>701</v>
      </c>
      <c r="C31" s="347"/>
    </row>
    <row r="32" spans="1:15">
      <c r="A32" s="346" t="s">
        <v>13</v>
      </c>
      <c r="B32" s="188" t="s">
        <v>59</v>
      </c>
    </row>
    <row r="33" spans="1:17">
      <c r="A33" s="346" t="s">
        <v>15</v>
      </c>
      <c r="B33" s="188">
        <f>B25</f>
        <v>41.64</v>
      </c>
    </row>
    <row r="34" spans="1:17">
      <c r="A34" s="346" t="s">
        <v>16</v>
      </c>
      <c r="B34" s="188" t="s">
        <v>17</v>
      </c>
    </row>
    <row r="35" spans="1:17">
      <c r="A35" s="346" t="s">
        <v>18</v>
      </c>
      <c r="B35" s="188" t="s">
        <v>37</v>
      </c>
    </row>
    <row r="36" spans="1:17">
      <c r="A36" s="343" t="s">
        <v>19</v>
      </c>
    </row>
    <row r="37" spans="1:17" ht="14.45">
      <c r="A37" s="343" t="s">
        <v>20</v>
      </c>
      <c r="B37" s="344" t="s">
        <v>21</v>
      </c>
      <c r="C37" s="77" t="s">
        <v>217</v>
      </c>
      <c r="D37" s="344" t="s">
        <v>18</v>
      </c>
      <c r="E37" s="344" t="s">
        <v>22</v>
      </c>
      <c r="F37" s="344" t="s">
        <v>7</v>
      </c>
      <c r="G37" s="344" t="s">
        <v>13</v>
      </c>
      <c r="H37" s="344" t="s">
        <v>16</v>
      </c>
      <c r="I37" s="344" t="s">
        <v>23</v>
      </c>
      <c r="J37" s="344" t="s">
        <v>24</v>
      </c>
      <c r="K37" s="344" t="s">
        <v>25</v>
      </c>
      <c r="L37" s="344" t="s">
        <v>26</v>
      </c>
      <c r="M37" s="344" t="s">
        <v>27</v>
      </c>
      <c r="N37" s="344" t="s">
        <v>28</v>
      </c>
      <c r="O37" s="344" t="s">
        <v>11</v>
      </c>
      <c r="P37" s="344" t="s">
        <v>702</v>
      </c>
    </row>
    <row r="38" spans="1:17" s="348" customFormat="1">
      <c r="A38" s="348" t="s">
        <v>697</v>
      </c>
      <c r="B38" s="348">
        <f>B25</f>
        <v>41.64</v>
      </c>
      <c r="D38" s="348" t="s">
        <v>37</v>
      </c>
      <c r="E38" s="348" t="s">
        <v>2</v>
      </c>
      <c r="F38" s="348" t="s">
        <v>29</v>
      </c>
      <c r="G38" s="348" t="s">
        <v>59</v>
      </c>
      <c r="H38" s="348" t="s">
        <v>30</v>
      </c>
      <c r="I38" s="348">
        <v>1</v>
      </c>
      <c r="J38" s="348">
        <f>B38</f>
        <v>41.64</v>
      </c>
      <c r="K38" s="348" t="s">
        <v>31</v>
      </c>
      <c r="L38" s="348" t="s">
        <v>31</v>
      </c>
      <c r="M38" s="348" t="s">
        <v>31</v>
      </c>
      <c r="N38" s="348" t="s">
        <v>31</v>
      </c>
    </row>
    <row r="39" spans="1:17">
      <c r="A39" s="112" t="s">
        <v>703</v>
      </c>
      <c r="B39" s="350">
        <v>18.399999999999999</v>
      </c>
      <c r="C39" s="350"/>
      <c r="D39" s="188" t="s">
        <v>37</v>
      </c>
      <c r="E39" s="188" t="s">
        <v>40</v>
      </c>
      <c r="F39" s="188" t="s">
        <v>29</v>
      </c>
      <c r="G39" s="37" t="s">
        <v>59</v>
      </c>
      <c r="H39" s="188" t="s">
        <v>33</v>
      </c>
      <c r="I39" s="188">
        <v>2</v>
      </c>
      <c r="J39" s="188">
        <f>LN(B39)</f>
        <v>2.91235066461494</v>
      </c>
      <c r="K39" s="188">
        <v>0.362491379</v>
      </c>
      <c r="L39" s="348" t="s">
        <v>31</v>
      </c>
      <c r="M39" s="348" t="s">
        <v>31</v>
      </c>
      <c r="N39" s="348" t="s">
        <v>31</v>
      </c>
      <c r="O39" s="188" t="s">
        <v>704</v>
      </c>
      <c r="Q39" s="188" t="s">
        <v>231</v>
      </c>
    </row>
    <row r="40" spans="1:17">
      <c r="A40" s="112" t="s">
        <v>703</v>
      </c>
      <c r="B40" s="188">
        <v>12.25741</v>
      </c>
      <c r="D40" s="188" t="s">
        <v>37</v>
      </c>
      <c r="E40" s="188" t="s">
        <v>40</v>
      </c>
      <c r="F40" s="188" t="s">
        <v>29</v>
      </c>
      <c r="G40" s="37" t="s">
        <v>59</v>
      </c>
      <c r="H40" s="188" t="s">
        <v>33</v>
      </c>
      <c r="I40" s="188">
        <v>2</v>
      </c>
      <c r="J40" s="188">
        <f t="shared" ref="J40:J44" si="1">LN(B40)</f>
        <v>2.5061306520728932</v>
      </c>
      <c r="K40" s="188">
        <v>0.362491379</v>
      </c>
      <c r="L40" s="348" t="s">
        <v>31</v>
      </c>
      <c r="M40" s="348" t="s">
        <v>31</v>
      </c>
      <c r="N40" s="348" t="s">
        <v>31</v>
      </c>
      <c r="O40" s="188" t="s">
        <v>705</v>
      </c>
      <c r="Q40" s="188" t="s">
        <v>231</v>
      </c>
    </row>
    <row r="41" spans="1:17">
      <c r="A41" s="37" t="s">
        <v>653</v>
      </c>
      <c r="B41" s="188">
        <v>8.0805000000000007</v>
      </c>
      <c r="D41" s="188" t="s">
        <v>37</v>
      </c>
      <c r="E41" s="188" t="s">
        <v>40</v>
      </c>
      <c r="F41" s="188" t="s">
        <v>29</v>
      </c>
      <c r="G41" s="37" t="s">
        <v>59</v>
      </c>
      <c r="H41" s="188" t="s">
        <v>33</v>
      </c>
      <c r="I41" s="188">
        <v>2</v>
      </c>
      <c r="J41" s="188">
        <f t="shared" si="1"/>
        <v>2.0894537518065612</v>
      </c>
      <c r="K41" s="188">
        <v>0.362491379</v>
      </c>
      <c r="L41" s="348" t="s">
        <v>31</v>
      </c>
      <c r="M41" s="348" t="s">
        <v>31</v>
      </c>
      <c r="N41" s="348" t="s">
        <v>31</v>
      </c>
      <c r="O41" s="188" t="s">
        <v>706</v>
      </c>
      <c r="Q41" s="188" t="s">
        <v>231</v>
      </c>
    </row>
    <row r="42" spans="1:17">
      <c r="A42" s="37" t="s">
        <v>707</v>
      </c>
      <c r="B42" s="188">
        <v>8.0805000000000007</v>
      </c>
      <c r="D42" s="188" t="s">
        <v>37</v>
      </c>
      <c r="E42" s="188" t="s">
        <v>40</v>
      </c>
      <c r="F42" s="188" t="s">
        <v>29</v>
      </c>
      <c r="G42" s="188" t="s">
        <v>59</v>
      </c>
      <c r="H42" s="188" t="s">
        <v>33</v>
      </c>
      <c r="I42" s="188">
        <v>2</v>
      </c>
      <c r="J42" s="188">
        <f t="shared" si="1"/>
        <v>2.0894537518065612</v>
      </c>
      <c r="K42" s="188">
        <v>0.362491379</v>
      </c>
      <c r="L42" s="348" t="s">
        <v>31</v>
      </c>
      <c r="M42" s="348" t="s">
        <v>31</v>
      </c>
      <c r="N42" s="348" t="s">
        <v>31</v>
      </c>
      <c r="O42" s="188" t="s">
        <v>706</v>
      </c>
      <c r="Q42" s="188" t="s">
        <v>231</v>
      </c>
    </row>
    <row r="43" spans="1:17">
      <c r="A43" s="37" t="s">
        <v>92</v>
      </c>
      <c r="B43" s="188">
        <v>2.9081000000000001</v>
      </c>
      <c r="D43" s="188" t="s">
        <v>37</v>
      </c>
      <c r="E43" s="188" t="s">
        <v>40</v>
      </c>
      <c r="F43" s="188" t="s">
        <v>29</v>
      </c>
      <c r="G43" s="188" t="s">
        <v>82</v>
      </c>
      <c r="H43" s="188" t="s">
        <v>33</v>
      </c>
      <c r="I43" s="188">
        <v>2</v>
      </c>
      <c r="J43" s="188">
        <f t="shared" si="1"/>
        <v>1.0674999469754836</v>
      </c>
      <c r="K43" s="188">
        <v>0.362491379</v>
      </c>
      <c r="L43" s="348" t="s">
        <v>31</v>
      </c>
      <c r="M43" s="348" t="s">
        <v>31</v>
      </c>
      <c r="N43" s="348" t="s">
        <v>31</v>
      </c>
      <c r="O43" s="188" t="s">
        <v>708</v>
      </c>
    </row>
    <row r="44" spans="1:17">
      <c r="A44" s="188" t="s">
        <v>709</v>
      </c>
      <c r="B44" s="188">
        <v>2.3637600000000001</v>
      </c>
      <c r="D44" s="188" t="s">
        <v>37</v>
      </c>
      <c r="E44" s="188" t="s">
        <v>40</v>
      </c>
      <c r="F44" s="188" t="s">
        <v>29</v>
      </c>
      <c r="G44" s="188" t="s">
        <v>59</v>
      </c>
      <c r="H44" s="188" t="s">
        <v>33</v>
      </c>
      <c r="I44" s="188">
        <v>2</v>
      </c>
      <c r="J44" s="188">
        <f t="shared" si="1"/>
        <v>0.86025357154741955</v>
      </c>
      <c r="K44" s="188">
        <v>0.362491379</v>
      </c>
      <c r="L44" s="348" t="s">
        <v>31</v>
      </c>
      <c r="M44" s="348" t="s">
        <v>31</v>
      </c>
      <c r="N44" s="348" t="s">
        <v>31</v>
      </c>
      <c r="O44" s="188" t="s">
        <v>710</v>
      </c>
      <c r="Q44" s="188" t="s">
        <v>231</v>
      </c>
    </row>
    <row r="45" spans="1:17" s="353" customFormat="1">
      <c r="A45" s="351" t="s">
        <v>269</v>
      </c>
      <c r="B45" s="352">
        <v>0.52</v>
      </c>
      <c r="C45" s="352"/>
      <c r="D45" s="353" t="s">
        <v>39</v>
      </c>
      <c r="E45" s="353" t="s">
        <v>40</v>
      </c>
      <c r="F45" s="353" t="s">
        <v>29</v>
      </c>
      <c r="G45" s="353" t="s">
        <v>59</v>
      </c>
      <c r="H45" s="353" t="s">
        <v>33</v>
      </c>
      <c r="I45" s="353">
        <v>3</v>
      </c>
      <c r="J45" s="353">
        <f>B45</f>
        <v>0.52</v>
      </c>
      <c r="K45" s="353">
        <v>1.0701761910000001</v>
      </c>
      <c r="L45" s="353" t="s">
        <v>31</v>
      </c>
      <c r="M45" s="353" t="s">
        <v>31</v>
      </c>
      <c r="N45" s="353" t="s">
        <v>31</v>
      </c>
      <c r="O45" s="353" t="s">
        <v>711</v>
      </c>
      <c r="P45" s="353" t="s">
        <v>712</v>
      </c>
      <c r="Q45" s="353" t="s">
        <v>231</v>
      </c>
    </row>
    <row r="46" spans="1:17">
      <c r="A46" s="346" t="s">
        <v>269</v>
      </c>
      <c r="B46" s="354">
        <v>0.05</v>
      </c>
      <c r="C46" s="354"/>
      <c r="D46" s="188" t="s">
        <v>39</v>
      </c>
      <c r="E46" s="188" t="s">
        <v>40</v>
      </c>
      <c r="F46" s="188" t="s">
        <v>29</v>
      </c>
      <c r="G46" s="188" t="s">
        <v>59</v>
      </c>
      <c r="H46" s="188" t="s">
        <v>33</v>
      </c>
      <c r="I46" s="188">
        <v>3</v>
      </c>
      <c r="J46" s="188">
        <f t="shared" ref="J46:J62" si="2">B46</f>
        <v>0.05</v>
      </c>
      <c r="K46" s="188">
        <v>1.0701761910000001</v>
      </c>
      <c r="L46" s="188" t="s">
        <v>31</v>
      </c>
      <c r="M46" s="188" t="s">
        <v>31</v>
      </c>
      <c r="N46" s="188" t="s">
        <v>31</v>
      </c>
      <c r="O46" s="188" t="s">
        <v>713</v>
      </c>
      <c r="P46" s="188" t="s">
        <v>712</v>
      </c>
      <c r="Q46" s="188" t="s">
        <v>231</v>
      </c>
    </row>
    <row r="47" spans="1:17">
      <c r="A47" s="346" t="s">
        <v>269</v>
      </c>
      <c r="B47" s="354">
        <v>2.4E-2</v>
      </c>
      <c r="C47" s="354"/>
      <c r="D47" s="188" t="s">
        <v>39</v>
      </c>
      <c r="E47" s="188" t="s">
        <v>40</v>
      </c>
      <c r="F47" s="188" t="s">
        <v>29</v>
      </c>
      <c r="G47" s="188" t="s">
        <v>59</v>
      </c>
      <c r="H47" s="188" t="s">
        <v>33</v>
      </c>
      <c r="I47" s="188">
        <v>3</v>
      </c>
      <c r="J47" s="188">
        <f t="shared" si="2"/>
        <v>2.4E-2</v>
      </c>
      <c r="K47" s="188">
        <v>1.0701761910000001</v>
      </c>
      <c r="L47" s="188" t="s">
        <v>31</v>
      </c>
      <c r="M47" s="188" t="s">
        <v>31</v>
      </c>
      <c r="N47" s="188" t="s">
        <v>31</v>
      </c>
      <c r="O47" s="188" t="s">
        <v>714</v>
      </c>
      <c r="P47" s="188" t="s">
        <v>712</v>
      </c>
      <c r="Q47" s="188" t="s">
        <v>231</v>
      </c>
    </row>
    <row r="48" spans="1:17">
      <c r="A48" s="346" t="s">
        <v>269</v>
      </c>
      <c r="B48" s="354">
        <v>0.46</v>
      </c>
      <c r="C48" s="354"/>
      <c r="D48" s="188" t="s">
        <v>39</v>
      </c>
      <c r="E48" s="188" t="s">
        <v>40</v>
      </c>
      <c r="F48" s="188" t="s">
        <v>29</v>
      </c>
      <c r="G48" s="188" t="s">
        <v>59</v>
      </c>
      <c r="H48" s="188" t="s">
        <v>33</v>
      </c>
      <c r="I48" s="188">
        <v>3</v>
      </c>
      <c r="J48" s="188">
        <f t="shared" si="2"/>
        <v>0.46</v>
      </c>
      <c r="K48" s="188">
        <v>1.045736435</v>
      </c>
      <c r="L48" s="188" t="s">
        <v>31</v>
      </c>
      <c r="M48" s="188" t="s">
        <v>31</v>
      </c>
      <c r="N48" s="188" t="s">
        <v>31</v>
      </c>
      <c r="O48" s="188" t="s">
        <v>715</v>
      </c>
      <c r="P48" s="188" t="s">
        <v>712</v>
      </c>
      <c r="Q48" s="188" t="s">
        <v>231</v>
      </c>
    </row>
    <row r="49" spans="1:17">
      <c r="A49" s="346" t="s">
        <v>269</v>
      </c>
      <c r="B49" s="354">
        <v>2.4E-2</v>
      </c>
      <c r="C49" s="354"/>
      <c r="D49" s="188" t="s">
        <v>39</v>
      </c>
      <c r="E49" s="188" t="s">
        <v>40</v>
      </c>
      <c r="F49" s="188" t="s">
        <v>29</v>
      </c>
      <c r="G49" s="188" t="s">
        <v>59</v>
      </c>
      <c r="H49" s="188" t="s">
        <v>33</v>
      </c>
      <c r="I49" s="188">
        <v>3</v>
      </c>
      <c r="J49" s="188">
        <f t="shared" si="2"/>
        <v>2.4E-2</v>
      </c>
      <c r="K49" s="188">
        <v>1.075516594</v>
      </c>
      <c r="L49" s="188" t="s">
        <v>31</v>
      </c>
      <c r="M49" s="188" t="s">
        <v>31</v>
      </c>
      <c r="N49" s="188" t="s">
        <v>31</v>
      </c>
      <c r="O49" s="188" t="s">
        <v>716</v>
      </c>
      <c r="P49" s="188" t="s">
        <v>712</v>
      </c>
      <c r="Q49" s="188" t="s">
        <v>231</v>
      </c>
    </row>
    <row r="50" spans="1:17">
      <c r="A50" s="346" t="s">
        <v>269</v>
      </c>
      <c r="B50" s="354">
        <v>0.61299999999999999</v>
      </c>
      <c r="C50" s="354"/>
      <c r="D50" s="188" t="s">
        <v>39</v>
      </c>
      <c r="E50" s="188" t="s">
        <v>40</v>
      </c>
      <c r="F50" s="188" t="s">
        <v>29</v>
      </c>
      <c r="G50" s="188" t="s">
        <v>59</v>
      </c>
      <c r="H50" s="188" t="s">
        <v>33</v>
      </c>
      <c r="I50" s="188">
        <v>3</v>
      </c>
      <c r="J50" s="188">
        <f t="shared" si="2"/>
        <v>0.61299999999999999</v>
      </c>
      <c r="K50" s="188">
        <v>1.058199144</v>
      </c>
      <c r="L50" s="188" t="s">
        <v>31</v>
      </c>
      <c r="M50" s="188" t="s">
        <v>31</v>
      </c>
      <c r="N50" s="188" t="s">
        <v>31</v>
      </c>
      <c r="O50" s="188" t="s">
        <v>717</v>
      </c>
      <c r="P50" s="188" t="s">
        <v>712</v>
      </c>
      <c r="Q50" s="188" t="s">
        <v>231</v>
      </c>
    </row>
    <row r="51" spans="1:17" s="353" customFormat="1">
      <c r="A51" s="355" t="s">
        <v>135</v>
      </c>
      <c r="B51" s="353">
        <v>36.799999999999997</v>
      </c>
      <c r="D51" s="353" t="s">
        <v>37</v>
      </c>
      <c r="E51" s="353" t="s">
        <v>40</v>
      </c>
      <c r="F51" s="353" t="s">
        <v>29</v>
      </c>
      <c r="G51" s="353" t="s">
        <v>82</v>
      </c>
      <c r="H51" s="353" t="s">
        <v>33</v>
      </c>
      <c r="J51" s="356">
        <f t="shared" si="2"/>
        <v>36.799999999999997</v>
      </c>
      <c r="K51" s="353">
        <v>1.0582</v>
      </c>
      <c r="L51" s="353" t="s">
        <v>31</v>
      </c>
      <c r="M51" s="353" t="s">
        <v>31</v>
      </c>
      <c r="N51" s="353" t="s">
        <v>31</v>
      </c>
      <c r="O51" s="353" t="s">
        <v>718</v>
      </c>
      <c r="P51" s="353" t="s">
        <v>712</v>
      </c>
      <c r="Q51" s="188" t="s">
        <v>231</v>
      </c>
    </row>
    <row r="52" spans="1:17">
      <c r="A52" s="357" t="s">
        <v>703</v>
      </c>
      <c r="B52" s="188">
        <f>B51</f>
        <v>36.799999999999997</v>
      </c>
      <c r="D52" s="188" t="s">
        <v>37</v>
      </c>
      <c r="E52" s="188" t="s">
        <v>40</v>
      </c>
      <c r="F52" s="188" t="s">
        <v>29</v>
      </c>
      <c r="G52" s="188" t="s">
        <v>59</v>
      </c>
      <c r="H52" s="188" t="s">
        <v>136</v>
      </c>
      <c r="J52" s="358">
        <f t="shared" si="2"/>
        <v>36.799999999999997</v>
      </c>
      <c r="K52" s="188">
        <f>K51</f>
        <v>1.0582</v>
      </c>
      <c r="L52" s="188" t="s">
        <v>31</v>
      </c>
      <c r="M52" s="188" t="s">
        <v>31</v>
      </c>
      <c r="N52" s="188" t="s">
        <v>31</v>
      </c>
      <c r="O52" s="188" t="s">
        <v>719</v>
      </c>
      <c r="P52" s="188" t="s">
        <v>712</v>
      </c>
      <c r="Q52" s="188" t="s">
        <v>231</v>
      </c>
    </row>
    <row r="53" spans="1:17" s="353" customFormat="1">
      <c r="A53" s="355" t="s">
        <v>135</v>
      </c>
      <c r="B53" s="353">
        <v>0.23200000000000001</v>
      </c>
      <c r="D53" s="353" t="s">
        <v>37</v>
      </c>
      <c r="E53" s="353" t="s">
        <v>40</v>
      </c>
      <c r="F53" s="353" t="s">
        <v>29</v>
      </c>
      <c r="G53" s="353" t="s">
        <v>82</v>
      </c>
      <c r="H53" s="353" t="s">
        <v>33</v>
      </c>
      <c r="J53" s="353">
        <f t="shared" si="2"/>
        <v>0.23200000000000001</v>
      </c>
      <c r="K53" s="353">
        <v>1.1084000000000001</v>
      </c>
      <c r="L53" s="353" t="s">
        <v>31</v>
      </c>
      <c r="M53" s="353" t="s">
        <v>31</v>
      </c>
      <c r="N53" s="353" t="s">
        <v>31</v>
      </c>
      <c r="O53" s="353" t="s">
        <v>720</v>
      </c>
      <c r="P53" s="353" t="s">
        <v>712</v>
      </c>
      <c r="Q53" s="188" t="s">
        <v>231</v>
      </c>
    </row>
    <row r="54" spans="1:17">
      <c r="A54" s="357" t="s">
        <v>703</v>
      </c>
      <c r="B54" s="188">
        <f>B53</f>
        <v>0.23200000000000001</v>
      </c>
      <c r="D54" s="188" t="s">
        <v>37</v>
      </c>
      <c r="E54" s="188" t="s">
        <v>40</v>
      </c>
      <c r="F54" s="188" t="s">
        <v>29</v>
      </c>
      <c r="G54" s="188" t="s">
        <v>59</v>
      </c>
      <c r="H54" s="188" t="s">
        <v>136</v>
      </c>
      <c r="J54" s="188">
        <f t="shared" si="2"/>
        <v>0.23200000000000001</v>
      </c>
      <c r="K54" s="188">
        <f>K53</f>
        <v>1.1084000000000001</v>
      </c>
      <c r="L54" s="188" t="s">
        <v>31</v>
      </c>
      <c r="M54" s="188" t="s">
        <v>31</v>
      </c>
      <c r="N54" s="188" t="s">
        <v>31</v>
      </c>
      <c r="O54" s="188" t="s">
        <v>721</v>
      </c>
      <c r="P54" s="188" t="s">
        <v>712</v>
      </c>
      <c r="Q54" s="188" t="s">
        <v>231</v>
      </c>
    </row>
    <row r="55" spans="1:17" s="353" customFormat="1">
      <c r="A55" s="355" t="s">
        <v>135</v>
      </c>
      <c r="B55" s="353">
        <v>1.42</v>
      </c>
      <c r="D55" s="353" t="s">
        <v>37</v>
      </c>
      <c r="E55" s="353" t="s">
        <v>40</v>
      </c>
      <c r="F55" s="353" t="s">
        <v>29</v>
      </c>
      <c r="G55" s="353" t="s">
        <v>82</v>
      </c>
      <c r="H55" s="353" t="s">
        <v>33</v>
      </c>
      <c r="J55" s="353">
        <f t="shared" si="2"/>
        <v>1.42</v>
      </c>
      <c r="K55" s="353">
        <v>1.1084000000000001</v>
      </c>
      <c r="L55" s="353" t="s">
        <v>31</v>
      </c>
      <c r="M55" s="353" t="s">
        <v>31</v>
      </c>
      <c r="N55" s="353" t="s">
        <v>31</v>
      </c>
      <c r="O55" s="353" t="s">
        <v>722</v>
      </c>
      <c r="P55" s="353" t="s">
        <v>712</v>
      </c>
      <c r="Q55" s="353" t="s">
        <v>231</v>
      </c>
    </row>
    <row r="56" spans="1:17" s="342" customFormat="1">
      <c r="A56" s="359" t="s">
        <v>703</v>
      </c>
      <c r="B56" s="188">
        <f>B55</f>
        <v>1.42</v>
      </c>
      <c r="D56" s="342" t="s">
        <v>37</v>
      </c>
      <c r="E56" s="342" t="s">
        <v>40</v>
      </c>
      <c r="F56" s="342" t="s">
        <v>29</v>
      </c>
      <c r="G56" s="342" t="s">
        <v>59</v>
      </c>
      <c r="H56" s="342" t="s">
        <v>136</v>
      </c>
      <c r="J56" s="342">
        <f t="shared" si="2"/>
        <v>1.42</v>
      </c>
      <c r="K56" s="188">
        <f>K55</f>
        <v>1.1084000000000001</v>
      </c>
      <c r="L56" s="342" t="s">
        <v>31</v>
      </c>
      <c r="M56" s="342" t="s">
        <v>31</v>
      </c>
      <c r="N56" s="342" t="s">
        <v>31</v>
      </c>
      <c r="O56" s="188" t="s">
        <v>723</v>
      </c>
      <c r="P56" s="342" t="s">
        <v>712</v>
      </c>
      <c r="Q56" s="188" t="s">
        <v>231</v>
      </c>
    </row>
    <row r="57" spans="1:17" s="353" customFormat="1">
      <c r="A57" s="355" t="s">
        <v>135</v>
      </c>
      <c r="B57" s="353">
        <v>0.43</v>
      </c>
      <c r="D57" s="353" t="s">
        <v>37</v>
      </c>
      <c r="E57" s="353" t="s">
        <v>40</v>
      </c>
      <c r="F57" s="353" t="s">
        <v>29</v>
      </c>
      <c r="G57" s="353" t="s">
        <v>82</v>
      </c>
      <c r="H57" s="353" t="s">
        <v>33</v>
      </c>
      <c r="J57" s="353">
        <f t="shared" si="2"/>
        <v>0.43</v>
      </c>
      <c r="K57" s="353">
        <v>1.0582</v>
      </c>
      <c r="L57" s="353" t="s">
        <v>31</v>
      </c>
      <c r="M57" s="353" t="s">
        <v>31</v>
      </c>
      <c r="N57" s="353" t="s">
        <v>31</v>
      </c>
      <c r="O57" s="353" t="s">
        <v>724</v>
      </c>
      <c r="P57" s="353" t="s">
        <v>712</v>
      </c>
      <c r="Q57" s="188" t="s">
        <v>231</v>
      </c>
    </row>
    <row r="58" spans="1:17">
      <c r="A58" s="357" t="s">
        <v>703</v>
      </c>
      <c r="B58" s="188">
        <f>B57</f>
        <v>0.43</v>
      </c>
      <c r="D58" s="188" t="s">
        <v>37</v>
      </c>
      <c r="E58" s="188" t="s">
        <v>40</v>
      </c>
      <c r="F58" s="188" t="s">
        <v>29</v>
      </c>
      <c r="G58" s="188" t="s">
        <v>59</v>
      </c>
      <c r="H58" s="188" t="s">
        <v>136</v>
      </c>
      <c r="J58" s="188">
        <f t="shared" si="2"/>
        <v>0.43</v>
      </c>
      <c r="K58" s="188">
        <f>K57</f>
        <v>1.0582</v>
      </c>
      <c r="L58" s="188" t="s">
        <v>31</v>
      </c>
      <c r="M58" s="188" t="s">
        <v>31</v>
      </c>
      <c r="N58" s="188" t="s">
        <v>31</v>
      </c>
      <c r="O58" s="188" t="s">
        <v>725</v>
      </c>
      <c r="P58" s="188" t="s">
        <v>712</v>
      </c>
      <c r="Q58" s="188" t="s">
        <v>231</v>
      </c>
    </row>
    <row r="59" spans="1:17" s="353" customFormat="1">
      <c r="A59" s="360" t="s">
        <v>442</v>
      </c>
      <c r="B59" s="353">
        <v>7.6999999999999999E-2</v>
      </c>
      <c r="C59" s="353" t="s">
        <v>443</v>
      </c>
      <c r="D59" s="353" t="s">
        <v>37</v>
      </c>
      <c r="E59" s="353" t="s">
        <v>40</v>
      </c>
      <c r="F59" s="353" t="s">
        <v>29</v>
      </c>
      <c r="G59" s="353" t="s">
        <v>82</v>
      </c>
      <c r="H59" s="353" t="s">
        <v>33</v>
      </c>
      <c r="J59" s="353">
        <f t="shared" si="2"/>
        <v>7.6999999999999999E-2</v>
      </c>
      <c r="K59" s="353">
        <v>1.1084000000000001</v>
      </c>
      <c r="L59" s="353" t="s">
        <v>31</v>
      </c>
      <c r="M59" s="353" t="s">
        <v>31</v>
      </c>
      <c r="N59" s="353" t="s">
        <v>31</v>
      </c>
      <c r="O59" s="353" t="s">
        <v>726</v>
      </c>
      <c r="P59" s="353" t="s">
        <v>712</v>
      </c>
      <c r="Q59" s="353" t="s">
        <v>231</v>
      </c>
    </row>
    <row r="60" spans="1:17">
      <c r="A60" s="361" t="s">
        <v>653</v>
      </c>
      <c r="B60" s="188">
        <f>B59</f>
        <v>7.6999999999999999E-2</v>
      </c>
      <c r="D60" s="188" t="s">
        <v>37</v>
      </c>
      <c r="E60" s="188" t="s">
        <v>40</v>
      </c>
      <c r="F60" s="188" t="s">
        <v>29</v>
      </c>
      <c r="G60" s="37" t="s">
        <v>59</v>
      </c>
      <c r="H60" s="188" t="s">
        <v>136</v>
      </c>
      <c r="J60" s="188">
        <f t="shared" si="2"/>
        <v>7.6999999999999999E-2</v>
      </c>
      <c r="K60" s="188">
        <f>K59</f>
        <v>1.1084000000000001</v>
      </c>
      <c r="L60" s="188" t="s">
        <v>31</v>
      </c>
      <c r="M60" s="188" t="s">
        <v>31</v>
      </c>
      <c r="N60" s="188" t="s">
        <v>31</v>
      </c>
      <c r="O60" s="188" t="s">
        <v>727</v>
      </c>
      <c r="P60" s="188" t="s">
        <v>712</v>
      </c>
      <c r="Q60" s="188" t="s">
        <v>231</v>
      </c>
    </row>
    <row r="61" spans="1:17" s="353" customFormat="1">
      <c r="A61" s="355" t="s">
        <v>442</v>
      </c>
      <c r="B61" s="353">
        <v>3.5999999999999997E-2</v>
      </c>
      <c r="C61" s="353" t="s">
        <v>443</v>
      </c>
      <c r="D61" s="353" t="s">
        <v>37</v>
      </c>
      <c r="E61" s="353" t="s">
        <v>40</v>
      </c>
      <c r="F61" s="353" t="s">
        <v>29</v>
      </c>
      <c r="G61" s="353" t="s">
        <v>82</v>
      </c>
      <c r="H61" s="353" t="s">
        <v>33</v>
      </c>
      <c r="J61" s="353">
        <f t="shared" si="2"/>
        <v>3.5999999999999997E-2</v>
      </c>
      <c r="K61" s="353">
        <v>1.0702</v>
      </c>
      <c r="L61" s="353" t="s">
        <v>31</v>
      </c>
      <c r="M61" s="353" t="s">
        <v>31</v>
      </c>
      <c r="N61" s="353" t="s">
        <v>31</v>
      </c>
      <c r="O61" s="353" t="s">
        <v>728</v>
      </c>
      <c r="P61" s="353" t="s">
        <v>712</v>
      </c>
      <c r="Q61" s="188" t="s">
        <v>231</v>
      </c>
    </row>
    <row r="62" spans="1:17">
      <c r="A62" s="362" t="s">
        <v>653</v>
      </c>
      <c r="B62" s="188">
        <f>B61</f>
        <v>3.5999999999999997E-2</v>
      </c>
      <c r="D62" s="188" t="s">
        <v>37</v>
      </c>
      <c r="E62" s="188" t="s">
        <v>40</v>
      </c>
      <c r="F62" s="188" t="s">
        <v>29</v>
      </c>
      <c r="G62" s="37" t="s">
        <v>59</v>
      </c>
      <c r="H62" s="188" t="s">
        <v>136</v>
      </c>
      <c r="J62" s="188">
        <f t="shared" si="2"/>
        <v>3.5999999999999997E-2</v>
      </c>
      <c r="K62" s="188">
        <f>K61</f>
        <v>1.0702</v>
      </c>
      <c r="L62" s="188" t="s">
        <v>31</v>
      </c>
      <c r="M62" s="188" t="s">
        <v>31</v>
      </c>
      <c r="N62" s="188" t="s">
        <v>31</v>
      </c>
      <c r="O62" s="188" t="s">
        <v>729</v>
      </c>
      <c r="P62" s="188" t="s">
        <v>712</v>
      </c>
      <c r="Q62" s="188" t="s">
        <v>231</v>
      </c>
    </row>
    <row r="63" spans="1:17" s="364" customFormat="1" ht="13.5" thickBot="1">
      <c r="A63" s="363" t="s">
        <v>730</v>
      </c>
      <c r="B63" s="364">
        <v>2.5999999999999999E-2</v>
      </c>
      <c r="D63" s="364" t="s">
        <v>37</v>
      </c>
      <c r="E63" s="364" t="s">
        <v>43</v>
      </c>
      <c r="F63" s="364" t="s">
        <v>44</v>
      </c>
      <c r="G63" s="364" t="s">
        <v>29</v>
      </c>
      <c r="H63" s="364" t="s">
        <v>45</v>
      </c>
      <c r="J63" s="364">
        <f>B63</f>
        <v>2.5999999999999999E-2</v>
      </c>
      <c r="K63" s="364">
        <v>1.4302999999999999</v>
      </c>
      <c r="L63" s="364" t="s">
        <v>31</v>
      </c>
      <c r="M63" s="364" t="s">
        <v>31</v>
      </c>
      <c r="N63" s="364" t="s">
        <v>31</v>
      </c>
      <c r="O63" s="364" t="s">
        <v>731</v>
      </c>
      <c r="P63" s="364" t="s">
        <v>712</v>
      </c>
      <c r="Q63" s="364" t="s">
        <v>231</v>
      </c>
    </row>
    <row r="64" spans="1:17">
      <c r="A64" s="343" t="s">
        <v>5</v>
      </c>
      <c r="B64" s="344" t="s">
        <v>698</v>
      </c>
      <c r="C64" s="344"/>
      <c r="D64" s="345"/>
    </row>
    <row r="65" spans="1:16">
      <c r="A65" s="346" t="s">
        <v>7</v>
      </c>
      <c r="B65" s="188" t="s">
        <v>690</v>
      </c>
      <c r="D65" s="345"/>
    </row>
    <row r="66" spans="1:16">
      <c r="A66" s="346" t="s">
        <v>9</v>
      </c>
      <c r="B66" s="188" t="s">
        <v>732</v>
      </c>
      <c r="D66" s="345"/>
    </row>
    <row r="67" spans="1:16" ht="14.25" customHeight="1">
      <c r="A67" s="346" t="s">
        <v>11</v>
      </c>
      <c r="B67" s="347" t="s">
        <v>733</v>
      </c>
      <c r="C67" s="347"/>
    </row>
    <row r="68" spans="1:16">
      <c r="A68" s="346" t="s">
        <v>13</v>
      </c>
      <c r="B68" s="188" t="s">
        <v>59</v>
      </c>
    </row>
    <row r="69" spans="1:16">
      <c r="A69" s="346" t="s">
        <v>15</v>
      </c>
      <c r="B69" s="188">
        <f>B26</f>
        <v>5.19</v>
      </c>
    </row>
    <row r="70" spans="1:16">
      <c r="A70" s="346" t="s">
        <v>16</v>
      </c>
      <c r="B70" s="188" t="s">
        <v>17</v>
      </c>
    </row>
    <row r="71" spans="1:16">
      <c r="A71" s="346" t="s">
        <v>18</v>
      </c>
      <c r="B71" s="188" t="s">
        <v>37</v>
      </c>
    </row>
    <row r="72" spans="1:16">
      <c r="A72" s="343" t="s">
        <v>19</v>
      </c>
    </row>
    <row r="73" spans="1:16" ht="14.45">
      <c r="A73" s="343" t="s">
        <v>20</v>
      </c>
      <c r="B73" s="344" t="s">
        <v>21</v>
      </c>
      <c r="C73" s="77" t="s">
        <v>217</v>
      </c>
      <c r="D73" s="344" t="s">
        <v>18</v>
      </c>
      <c r="E73" s="344" t="s">
        <v>22</v>
      </c>
      <c r="F73" s="344" t="s">
        <v>7</v>
      </c>
      <c r="G73" s="344" t="s">
        <v>13</v>
      </c>
      <c r="H73" s="344" t="s">
        <v>16</v>
      </c>
      <c r="I73" s="344" t="s">
        <v>23</v>
      </c>
      <c r="J73" s="344" t="s">
        <v>24</v>
      </c>
      <c r="K73" s="344" t="s">
        <v>25</v>
      </c>
      <c r="L73" s="344" t="s">
        <v>26</v>
      </c>
      <c r="M73" s="344" t="s">
        <v>27</v>
      </c>
      <c r="N73" s="344" t="s">
        <v>28</v>
      </c>
      <c r="O73" s="344" t="s">
        <v>11</v>
      </c>
      <c r="P73" s="344" t="s">
        <v>702</v>
      </c>
    </row>
    <row r="74" spans="1:16" s="348" customFormat="1">
      <c r="A74" s="348" t="s">
        <v>698</v>
      </c>
      <c r="B74" s="348">
        <f>B69</f>
        <v>5.19</v>
      </c>
      <c r="D74" s="348" t="s">
        <v>37</v>
      </c>
      <c r="E74" s="348" t="s">
        <v>2</v>
      </c>
      <c r="F74" s="348" t="s">
        <v>29</v>
      </c>
      <c r="G74" s="348" t="s">
        <v>59</v>
      </c>
      <c r="H74" s="348" t="s">
        <v>30</v>
      </c>
      <c r="I74" s="348">
        <v>1</v>
      </c>
      <c r="J74" s="348">
        <f>B74</f>
        <v>5.19</v>
      </c>
      <c r="K74" s="348" t="s">
        <v>31</v>
      </c>
      <c r="L74" s="348" t="s">
        <v>31</v>
      </c>
      <c r="M74" s="348" t="s">
        <v>31</v>
      </c>
      <c r="N74" s="348" t="s">
        <v>31</v>
      </c>
    </row>
    <row r="75" spans="1:16" ht="12.75" customHeight="1">
      <c r="A75" s="112" t="s">
        <v>703</v>
      </c>
      <c r="B75" s="188">
        <v>4.51</v>
      </c>
      <c r="D75" s="188" t="s">
        <v>37</v>
      </c>
      <c r="E75" s="188" t="s">
        <v>40</v>
      </c>
      <c r="F75" s="188" t="s">
        <v>29</v>
      </c>
      <c r="G75" s="37" t="s">
        <v>59</v>
      </c>
      <c r="H75" s="188" t="s">
        <v>33</v>
      </c>
      <c r="I75" s="188">
        <v>2</v>
      </c>
      <c r="J75" s="188">
        <f>LN(B75)</f>
        <v>1.506297153514587</v>
      </c>
      <c r="K75" s="188">
        <v>0.34842502800000003</v>
      </c>
      <c r="L75" s="188" t="s">
        <v>31</v>
      </c>
      <c r="M75" s="188" t="s">
        <v>31</v>
      </c>
      <c r="N75" s="188" t="s">
        <v>31</v>
      </c>
      <c r="O75" s="347" t="s">
        <v>734</v>
      </c>
      <c r="P75" s="188" t="s">
        <v>231</v>
      </c>
    </row>
    <row r="76" spans="1:16">
      <c r="A76" s="188" t="s">
        <v>347</v>
      </c>
      <c r="B76" s="188">
        <v>0.68</v>
      </c>
      <c r="D76" s="188" t="s">
        <v>37</v>
      </c>
      <c r="E76" s="188" t="s">
        <v>40</v>
      </c>
      <c r="F76" s="188" t="s">
        <v>29</v>
      </c>
      <c r="G76" s="37" t="s">
        <v>59</v>
      </c>
      <c r="H76" s="188" t="s">
        <v>33</v>
      </c>
      <c r="I76" s="188">
        <v>2</v>
      </c>
      <c r="J76" s="188">
        <f>LN(B76)</f>
        <v>-0.38566248081198462</v>
      </c>
      <c r="K76" s="188">
        <v>0.34842502800000003</v>
      </c>
      <c r="L76" s="188" t="s">
        <v>31</v>
      </c>
      <c r="M76" s="188" t="s">
        <v>31</v>
      </c>
      <c r="N76" s="188" t="s">
        <v>31</v>
      </c>
      <c r="O76" s="188" t="s">
        <v>735</v>
      </c>
      <c r="P76" s="188" t="s">
        <v>231</v>
      </c>
    </row>
    <row r="77" spans="1:16">
      <c r="A77" s="346" t="s">
        <v>269</v>
      </c>
      <c r="B77" s="188">
        <v>0.27700000000000002</v>
      </c>
      <c r="D77" s="188" t="s">
        <v>39</v>
      </c>
      <c r="E77" s="188" t="s">
        <v>40</v>
      </c>
      <c r="F77" s="188" t="s">
        <v>29</v>
      </c>
      <c r="G77" s="37" t="s">
        <v>59</v>
      </c>
      <c r="H77" s="188" t="s">
        <v>33</v>
      </c>
      <c r="I77" s="188">
        <v>3</v>
      </c>
      <c r="J77" s="188">
        <f>B77</f>
        <v>0.27700000000000002</v>
      </c>
      <c r="K77" s="188">
        <v>1.2351000000000001</v>
      </c>
      <c r="L77" s="188" t="s">
        <v>31</v>
      </c>
      <c r="M77" s="188" t="s">
        <v>31</v>
      </c>
      <c r="N77" s="188" t="s">
        <v>31</v>
      </c>
      <c r="O77" s="188" t="s">
        <v>736</v>
      </c>
      <c r="P77" s="188" t="s">
        <v>712</v>
      </c>
    </row>
    <row r="78" spans="1:16">
      <c r="A78" s="346" t="s">
        <v>269</v>
      </c>
      <c r="B78" s="188">
        <v>6.9000000000000006E-2</v>
      </c>
      <c r="D78" s="188" t="s">
        <v>39</v>
      </c>
      <c r="E78" s="188" t="s">
        <v>40</v>
      </c>
      <c r="F78" s="188" t="s">
        <v>29</v>
      </c>
      <c r="G78" s="37" t="s">
        <v>59</v>
      </c>
      <c r="H78" s="188" t="s">
        <v>33</v>
      </c>
      <c r="I78" s="188">
        <v>3</v>
      </c>
      <c r="J78" s="188">
        <f>B78</f>
        <v>6.9000000000000006E-2</v>
      </c>
      <c r="K78" s="188">
        <v>1.2310000000000001</v>
      </c>
      <c r="L78" s="188" t="s">
        <v>31</v>
      </c>
      <c r="M78" s="188" t="s">
        <v>31</v>
      </c>
      <c r="N78" s="188" t="s">
        <v>31</v>
      </c>
      <c r="O78" s="188" t="s">
        <v>737</v>
      </c>
      <c r="P78" s="188" t="s">
        <v>712</v>
      </c>
    </row>
    <row r="79" spans="1:16">
      <c r="A79" s="188" t="s">
        <v>738</v>
      </c>
      <c r="B79" s="188">
        <v>4.4999999999999998E-2</v>
      </c>
      <c r="D79" s="188" t="s">
        <v>37</v>
      </c>
      <c r="E79" s="188" t="s">
        <v>2</v>
      </c>
      <c r="F79" s="188" t="s">
        <v>29</v>
      </c>
      <c r="G79" s="37" t="s">
        <v>74</v>
      </c>
      <c r="H79" s="188" t="s">
        <v>33</v>
      </c>
      <c r="I79" s="188">
        <v>3</v>
      </c>
      <c r="J79" s="188">
        <f>B79</f>
        <v>4.4999999999999998E-2</v>
      </c>
      <c r="K79" s="188">
        <v>1.0582</v>
      </c>
      <c r="L79" s="188" t="s">
        <v>31</v>
      </c>
      <c r="M79" s="188" t="s">
        <v>31</v>
      </c>
      <c r="N79" s="188" t="s">
        <v>31</v>
      </c>
      <c r="O79" s="188" t="s">
        <v>739</v>
      </c>
      <c r="P79" s="188" t="s">
        <v>712</v>
      </c>
    </row>
    <row r="80" spans="1:16" s="349" customFormat="1" ht="13.5" thickBot="1">
      <c r="A80" s="349" t="s">
        <v>738</v>
      </c>
      <c r="B80" s="349">
        <v>4.4999999999999998E-2</v>
      </c>
      <c r="D80" s="349" t="s">
        <v>37</v>
      </c>
      <c r="E80" s="349" t="s">
        <v>2</v>
      </c>
      <c r="F80" s="349" t="s">
        <v>29</v>
      </c>
      <c r="G80" s="365" t="s">
        <v>74</v>
      </c>
      <c r="H80" s="349" t="s">
        <v>33</v>
      </c>
      <c r="I80" s="349">
        <v>3</v>
      </c>
      <c r="J80" s="349">
        <f>B80</f>
        <v>4.4999999999999998E-2</v>
      </c>
      <c r="K80" s="349">
        <v>1.2351000000000001</v>
      </c>
      <c r="L80" s="349" t="s">
        <v>31</v>
      </c>
      <c r="M80" s="349" t="s">
        <v>31</v>
      </c>
      <c r="N80" s="349" t="s">
        <v>31</v>
      </c>
      <c r="O80" s="349" t="s">
        <v>740</v>
      </c>
      <c r="P80" s="188" t="s">
        <v>712</v>
      </c>
    </row>
    <row r="81" spans="1:16">
      <c r="A81" s="343" t="s">
        <v>5</v>
      </c>
      <c r="B81" s="344" t="s">
        <v>699</v>
      </c>
      <c r="C81" s="344"/>
      <c r="D81" s="345"/>
    </row>
    <row r="82" spans="1:16">
      <c r="A82" s="346" t="s">
        <v>7</v>
      </c>
      <c r="B82" s="188" t="s">
        <v>690</v>
      </c>
      <c r="D82" s="345"/>
    </row>
    <row r="83" spans="1:16">
      <c r="A83" s="346" t="s">
        <v>9</v>
      </c>
      <c r="B83" s="188" t="s">
        <v>741</v>
      </c>
      <c r="D83" s="345"/>
    </row>
    <row r="84" spans="1:16" ht="14.25" customHeight="1">
      <c r="A84" s="346" t="s">
        <v>11</v>
      </c>
      <c r="B84" s="347" t="s">
        <v>742</v>
      </c>
      <c r="C84" s="347"/>
    </row>
    <row r="85" spans="1:16">
      <c r="A85" s="346" t="s">
        <v>13</v>
      </c>
      <c r="B85" s="188" t="s">
        <v>59</v>
      </c>
    </row>
    <row r="86" spans="1:16">
      <c r="A86" s="346" t="s">
        <v>15</v>
      </c>
      <c r="B86" s="188">
        <f>B27</f>
        <v>19.71</v>
      </c>
    </row>
    <row r="87" spans="1:16">
      <c r="A87" s="346" t="s">
        <v>16</v>
      </c>
      <c r="B87" s="188" t="s">
        <v>17</v>
      </c>
    </row>
    <row r="88" spans="1:16">
      <c r="A88" s="346" t="s">
        <v>18</v>
      </c>
      <c r="B88" s="188" t="s">
        <v>37</v>
      </c>
    </row>
    <row r="89" spans="1:16">
      <c r="A89" s="343" t="s">
        <v>19</v>
      </c>
    </row>
    <row r="90" spans="1:16" ht="14.45">
      <c r="A90" s="343" t="s">
        <v>20</v>
      </c>
      <c r="B90" s="344" t="s">
        <v>21</v>
      </c>
      <c r="C90" s="77" t="s">
        <v>217</v>
      </c>
      <c r="D90" s="344" t="s">
        <v>18</v>
      </c>
      <c r="E90" s="344" t="s">
        <v>22</v>
      </c>
      <c r="F90" s="344" t="s">
        <v>7</v>
      </c>
      <c r="G90" s="344" t="s">
        <v>13</v>
      </c>
      <c r="H90" s="344" t="s">
        <v>16</v>
      </c>
      <c r="I90" s="344" t="s">
        <v>23</v>
      </c>
      <c r="J90" s="344" t="s">
        <v>24</v>
      </c>
      <c r="K90" s="344" t="s">
        <v>25</v>
      </c>
      <c r="L90" s="344" t="s">
        <v>26</v>
      </c>
      <c r="M90" s="344" t="s">
        <v>27</v>
      </c>
      <c r="N90" s="344" t="s">
        <v>28</v>
      </c>
      <c r="O90" s="344" t="s">
        <v>11</v>
      </c>
      <c r="P90" s="344" t="s">
        <v>702</v>
      </c>
    </row>
    <row r="91" spans="1:16" s="348" customFormat="1">
      <c r="A91" s="348" t="s">
        <v>699</v>
      </c>
      <c r="B91" s="348">
        <f>B27</f>
        <v>19.71</v>
      </c>
      <c r="D91" s="348" t="s">
        <v>37</v>
      </c>
      <c r="E91" s="348" t="s">
        <v>2</v>
      </c>
      <c r="F91" s="348" t="s">
        <v>29</v>
      </c>
      <c r="G91" s="348" t="s">
        <v>59</v>
      </c>
      <c r="H91" s="348" t="s">
        <v>30</v>
      </c>
      <c r="I91" s="348">
        <v>1</v>
      </c>
      <c r="J91" s="348">
        <f>B91</f>
        <v>19.71</v>
      </c>
      <c r="K91" s="348" t="s">
        <v>31</v>
      </c>
      <c r="L91" s="348" t="s">
        <v>31</v>
      </c>
      <c r="M91" s="348" t="s">
        <v>31</v>
      </c>
      <c r="N91" s="348" t="s">
        <v>31</v>
      </c>
    </row>
    <row r="92" spans="1:16" ht="12.75" customHeight="1">
      <c r="A92" s="112" t="s">
        <v>703</v>
      </c>
      <c r="B92" s="188">
        <v>7.15</v>
      </c>
      <c r="D92" s="188" t="s">
        <v>37</v>
      </c>
      <c r="E92" s="188" t="s">
        <v>40</v>
      </c>
      <c r="F92" s="188" t="s">
        <v>29</v>
      </c>
      <c r="G92" s="37" t="s">
        <v>59</v>
      </c>
      <c r="H92" s="188" t="s">
        <v>33</v>
      </c>
      <c r="I92" s="188">
        <v>2</v>
      </c>
      <c r="J92" s="188">
        <f>LN(B92)</f>
        <v>1.9671123567059163</v>
      </c>
      <c r="K92" s="188">
        <v>0.34842502800000003</v>
      </c>
      <c r="L92" s="188" t="s">
        <v>31</v>
      </c>
      <c r="M92" s="188" t="s">
        <v>31</v>
      </c>
      <c r="N92" s="188" t="s">
        <v>31</v>
      </c>
      <c r="O92" s="347" t="s">
        <v>743</v>
      </c>
      <c r="P92" s="188" t="s">
        <v>231</v>
      </c>
    </row>
    <row r="93" spans="1:16" ht="12" customHeight="1">
      <c r="A93" s="188" t="s">
        <v>347</v>
      </c>
      <c r="B93" s="188">
        <v>12.56</v>
      </c>
      <c r="D93" s="188" t="s">
        <v>37</v>
      </c>
      <c r="E93" s="188" t="s">
        <v>40</v>
      </c>
      <c r="F93" s="188" t="s">
        <v>29</v>
      </c>
      <c r="G93" s="37" t="s">
        <v>59</v>
      </c>
      <c r="H93" s="188" t="s">
        <v>33</v>
      </c>
      <c r="I93" s="188">
        <v>2</v>
      </c>
      <c r="J93" s="188">
        <f>LN(B93)</f>
        <v>2.5305171610400525</v>
      </c>
      <c r="K93" s="188">
        <v>0.34842502800000003</v>
      </c>
      <c r="L93" s="188" t="s">
        <v>31</v>
      </c>
      <c r="M93" s="188" t="s">
        <v>31</v>
      </c>
      <c r="N93" s="188" t="s">
        <v>31</v>
      </c>
      <c r="O93" s="347" t="s">
        <v>744</v>
      </c>
      <c r="P93" s="188" t="s">
        <v>231</v>
      </c>
    </row>
    <row r="94" spans="1:16">
      <c r="A94" s="346" t="s">
        <v>269</v>
      </c>
      <c r="B94" s="188">
        <v>3.1869999999999998</v>
      </c>
      <c r="D94" s="188" t="s">
        <v>39</v>
      </c>
      <c r="E94" s="188" t="s">
        <v>40</v>
      </c>
      <c r="F94" s="188" t="s">
        <v>29</v>
      </c>
      <c r="G94" s="37" t="s">
        <v>59</v>
      </c>
      <c r="H94" s="188" t="s">
        <v>33</v>
      </c>
      <c r="I94" s="188">
        <v>3</v>
      </c>
      <c r="J94" s="188">
        <f>B94</f>
        <v>3.1869999999999998</v>
      </c>
      <c r="K94" s="188">
        <v>1.0748</v>
      </c>
      <c r="L94" s="188" t="s">
        <v>31</v>
      </c>
      <c r="M94" s="188" t="s">
        <v>31</v>
      </c>
      <c r="N94" s="188" t="s">
        <v>31</v>
      </c>
      <c r="O94" s="188" t="s">
        <v>745</v>
      </c>
      <c r="P94" s="188" t="s">
        <v>712</v>
      </c>
    </row>
    <row r="95" spans="1:16">
      <c r="A95" s="346" t="s">
        <v>269</v>
      </c>
      <c r="B95" s="188">
        <v>5.0000000000000001E-3</v>
      </c>
      <c r="D95" s="188" t="s">
        <v>39</v>
      </c>
      <c r="E95" s="188" t="s">
        <v>40</v>
      </c>
      <c r="F95" s="188" t="s">
        <v>29</v>
      </c>
      <c r="G95" s="37" t="s">
        <v>59</v>
      </c>
      <c r="H95" s="188" t="s">
        <v>33</v>
      </c>
      <c r="I95" s="188">
        <v>3</v>
      </c>
      <c r="J95" s="188">
        <f t="shared" ref="J95:J109" si="3">B95</f>
        <v>5.0000000000000001E-3</v>
      </c>
      <c r="K95" s="188">
        <v>1.0582</v>
      </c>
      <c r="L95" s="188" t="s">
        <v>31</v>
      </c>
      <c r="M95" s="188" t="s">
        <v>31</v>
      </c>
      <c r="N95" s="188" t="s">
        <v>31</v>
      </c>
      <c r="O95" s="188" t="s">
        <v>746</v>
      </c>
      <c r="P95" s="188" t="s">
        <v>712</v>
      </c>
    </row>
    <row r="96" spans="1:16">
      <c r="A96" s="346" t="s">
        <v>269</v>
      </c>
      <c r="B96" s="188">
        <v>4.2000000000000003E-2</v>
      </c>
      <c r="D96" s="188" t="s">
        <v>39</v>
      </c>
      <c r="E96" s="188" t="s">
        <v>40</v>
      </c>
      <c r="F96" s="188" t="s">
        <v>29</v>
      </c>
      <c r="G96" s="37" t="s">
        <v>59</v>
      </c>
      <c r="H96" s="188" t="s">
        <v>33</v>
      </c>
      <c r="I96" s="188">
        <v>3</v>
      </c>
      <c r="J96" s="188">
        <f t="shared" si="3"/>
        <v>4.2000000000000003E-2</v>
      </c>
      <c r="K96" s="188">
        <v>1.0702</v>
      </c>
      <c r="L96" s="188" t="s">
        <v>31</v>
      </c>
      <c r="M96" s="188" t="s">
        <v>31</v>
      </c>
      <c r="N96" s="188" t="s">
        <v>31</v>
      </c>
      <c r="O96" s="188" t="s">
        <v>747</v>
      </c>
      <c r="P96" s="188" t="s">
        <v>712</v>
      </c>
    </row>
    <row r="97" spans="1:16">
      <c r="A97" s="346" t="s">
        <v>269</v>
      </c>
      <c r="B97" s="188">
        <v>8.0000000000000002E-3</v>
      </c>
      <c r="D97" s="188" t="s">
        <v>39</v>
      </c>
      <c r="E97" s="188" t="s">
        <v>40</v>
      </c>
      <c r="F97" s="188" t="s">
        <v>29</v>
      </c>
      <c r="G97" s="37" t="s">
        <v>59</v>
      </c>
      <c r="H97" s="188" t="s">
        <v>33</v>
      </c>
      <c r="I97" s="188">
        <v>3</v>
      </c>
      <c r="J97" s="188">
        <f t="shared" si="3"/>
        <v>8.0000000000000002E-3</v>
      </c>
      <c r="K97" s="188">
        <v>1.0702</v>
      </c>
      <c r="L97" s="188" t="s">
        <v>31</v>
      </c>
      <c r="M97" s="188" t="s">
        <v>31</v>
      </c>
      <c r="N97" s="188" t="s">
        <v>31</v>
      </c>
      <c r="O97" s="188" t="s">
        <v>748</v>
      </c>
      <c r="P97" s="188" t="s">
        <v>712</v>
      </c>
    </row>
    <row r="98" spans="1:16">
      <c r="A98" s="346" t="s">
        <v>269</v>
      </c>
      <c r="B98" s="188">
        <v>2.1</v>
      </c>
      <c r="D98" s="188" t="s">
        <v>39</v>
      </c>
      <c r="E98" s="188" t="s">
        <v>40</v>
      </c>
      <c r="F98" s="188" t="s">
        <v>29</v>
      </c>
      <c r="G98" s="37" t="s">
        <v>59</v>
      </c>
      <c r="H98" s="188" t="s">
        <v>33</v>
      </c>
      <c r="I98" s="188">
        <v>3</v>
      </c>
      <c r="J98" s="188">
        <f t="shared" si="3"/>
        <v>2.1</v>
      </c>
      <c r="K98" s="188">
        <v>1.0582</v>
      </c>
      <c r="L98" s="188" t="s">
        <v>31</v>
      </c>
      <c r="M98" s="188" t="s">
        <v>31</v>
      </c>
      <c r="N98" s="188" t="s">
        <v>31</v>
      </c>
      <c r="O98" s="188" t="s">
        <v>749</v>
      </c>
      <c r="P98" s="188" t="s">
        <v>712</v>
      </c>
    </row>
    <row r="99" spans="1:16">
      <c r="A99" s="346" t="s">
        <v>269</v>
      </c>
      <c r="B99" s="188">
        <v>0.87</v>
      </c>
      <c r="D99" s="188" t="s">
        <v>39</v>
      </c>
      <c r="E99" s="188" t="s">
        <v>40</v>
      </c>
      <c r="F99" s="188" t="s">
        <v>29</v>
      </c>
      <c r="G99" s="37" t="s">
        <v>59</v>
      </c>
      <c r="H99" s="188" t="s">
        <v>33</v>
      </c>
      <c r="I99" s="188">
        <v>3</v>
      </c>
      <c r="J99" s="188">
        <f t="shared" si="3"/>
        <v>0.87</v>
      </c>
      <c r="K99" s="188">
        <v>1.0702</v>
      </c>
      <c r="L99" s="188" t="s">
        <v>31</v>
      </c>
      <c r="M99" s="188" t="s">
        <v>31</v>
      </c>
      <c r="N99" s="188" t="s">
        <v>31</v>
      </c>
      <c r="O99" s="188" t="s">
        <v>750</v>
      </c>
      <c r="P99" s="188" t="s">
        <v>712</v>
      </c>
    </row>
    <row r="100" spans="1:16">
      <c r="A100" s="346" t="s">
        <v>269</v>
      </c>
      <c r="B100" s="188">
        <v>1.29</v>
      </c>
      <c r="D100" s="188" t="s">
        <v>39</v>
      </c>
      <c r="E100" s="188" t="s">
        <v>40</v>
      </c>
      <c r="F100" s="188" t="s">
        <v>29</v>
      </c>
      <c r="G100" s="37" t="s">
        <v>59</v>
      </c>
      <c r="H100" s="188" t="s">
        <v>33</v>
      </c>
      <c r="I100" s="188">
        <v>3</v>
      </c>
      <c r="J100" s="188">
        <f t="shared" si="3"/>
        <v>1.29</v>
      </c>
      <c r="K100" s="188">
        <v>1.0702</v>
      </c>
      <c r="L100" s="188" t="s">
        <v>31</v>
      </c>
      <c r="M100" s="188" t="s">
        <v>31</v>
      </c>
      <c r="N100" s="188" t="s">
        <v>31</v>
      </c>
      <c r="O100" s="188" t="s">
        <v>751</v>
      </c>
      <c r="P100" s="188" t="s">
        <v>712</v>
      </c>
    </row>
    <row r="101" spans="1:16">
      <c r="A101" s="346" t="s">
        <v>269</v>
      </c>
      <c r="B101" s="188">
        <v>3.6</v>
      </c>
      <c r="D101" s="188" t="s">
        <v>39</v>
      </c>
      <c r="E101" s="188" t="s">
        <v>40</v>
      </c>
      <c r="F101" s="188" t="s">
        <v>29</v>
      </c>
      <c r="G101" s="37" t="s">
        <v>59</v>
      </c>
      <c r="H101" s="188" t="s">
        <v>33</v>
      </c>
      <c r="I101" s="188">
        <v>2</v>
      </c>
      <c r="J101" s="188">
        <f t="shared" si="3"/>
        <v>3.6</v>
      </c>
      <c r="K101" s="188">
        <v>1.058199144</v>
      </c>
      <c r="L101" s="188" t="s">
        <v>31</v>
      </c>
      <c r="M101" s="188" t="s">
        <v>31</v>
      </c>
      <c r="N101" s="188" t="s">
        <v>31</v>
      </c>
      <c r="O101" s="188" t="s">
        <v>752</v>
      </c>
    </row>
    <row r="102" spans="1:16">
      <c r="A102" s="346" t="s">
        <v>269</v>
      </c>
      <c r="B102" s="188">
        <v>2.9</v>
      </c>
      <c r="D102" s="188" t="s">
        <v>39</v>
      </c>
      <c r="E102" s="188" t="s">
        <v>40</v>
      </c>
      <c r="F102" s="188" t="s">
        <v>29</v>
      </c>
      <c r="G102" s="37" t="s">
        <v>59</v>
      </c>
      <c r="H102" s="188" t="s">
        <v>33</v>
      </c>
      <c r="I102" s="188">
        <v>2</v>
      </c>
      <c r="J102" s="188">
        <f t="shared" si="3"/>
        <v>2.9</v>
      </c>
      <c r="K102" s="188">
        <v>1.058199144</v>
      </c>
      <c r="L102" s="188" t="s">
        <v>31</v>
      </c>
      <c r="M102" s="188" t="s">
        <v>31</v>
      </c>
      <c r="N102" s="188" t="s">
        <v>31</v>
      </c>
      <c r="O102" s="188" t="s">
        <v>753</v>
      </c>
    </row>
    <row r="103" spans="1:16">
      <c r="A103" s="346" t="s">
        <v>269</v>
      </c>
      <c r="B103" s="188">
        <v>1.7</v>
      </c>
      <c r="D103" s="188" t="s">
        <v>39</v>
      </c>
      <c r="E103" s="188" t="s">
        <v>40</v>
      </c>
      <c r="F103" s="188" t="s">
        <v>29</v>
      </c>
      <c r="G103" s="37" t="s">
        <v>59</v>
      </c>
      <c r="H103" s="188" t="s">
        <v>33</v>
      </c>
      <c r="I103" s="188">
        <v>2</v>
      </c>
      <c r="J103" s="188">
        <f t="shared" si="3"/>
        <v>1.7</v>
      </c>
      <c r="K103" s="188">
        <v>1.058199144</v>
      </c>
      <c r="L103" s="188" t="s">
        <v>31</v>
      </c>
      <c r="M103" s="188" t="s">
        <v>31</v>
      </c>
      <c r="N103" s="188" t="s">
        <v>31</v>
      </c>
      <c r="O103" s="188" t="s">
        <v>754</v>
      </c>
    </row>
    <row r="104" spans="1:16">
      <c r="A104" s="346" t="s">
        <v>269</v>
      </c>
      <c r="B104" s="188">
        <v>0.7</v>
      </c>
      <c r="D104" s="188" t="s">
        <v>39</v>
      </c>
      <c r="E104" s="188" t="s">
        <v>40</v>
      </c>
      <c r="F104" s="188" t="s">
        <v>29</v>
      </c>
      <c r="G104" s="37" t="s">
        <v>59</v>
      </c>
      <c r="H104" s="188" t="s">
        <v>33</v>
      </c>
      <c r="I104" s="188">
        <v>2</v>
      </c>
      <c r="J104" s="188">
        <f t="shared" si="3"/>
        <v>0.7</v>
      </c>
      <c r="K104" s="188">
        <v>1.058199144</v>
      </c>
      <c r="L104" s="188" t="s">
        <v>31</v>
      </c>
      <c r="M104" s="188" t="s">
        <v>31</v>
      </c>
      <c r="N104" s="188" t="s">
        <v>31</v>
      </c>
      <c r="O104" s="188" t="s">
        <v>754</v>
      </c>
      <c r="P104" s="188" t="s">
        <v>712</v>
      </c>
    </row>
    <row r="105" spans="1:16" s="353" customFormat="1">
      <c r="A105" s="355" t="s">
        <v>347</v>
      </c>
      <c r="B105" s="353">
        <v>1.1200000000000001</v>
      </c>
      <c r="D105" s="353" t="s">
        <v>37</v>
      </c>
      <c r="E105" s="353" t="s">
        <v>40</v>
      </c>
      <c r="F105" s="353" t="s">
        <v>29</v>
      </c>
      <c r="G105" s="366" t="s">
        <v>59</v>
      </c>
      <c r="H105" s="353" t="s">
        <v>136</v>
      </c>
      <c r="I105" s="353">
        <v>3</v>
      </c>
      <c r="J105" s="353">
        <f t="shared" si="3"/>
        <v>1.1200000000000001</v>
      </c>
      <c r="K105" s="188">
        <v>1.1116329410000001</v>
      </c>
      <c r="L105" s="353" t="s">
        <v>31</v>
      </c>
      <c r="M105" s="353" t="s">
        <v>31</v>
      </c>
      <c r="N105" s="353" t="s">
        <v>31</v>
      </c>
      <c r="O105" s="353" t="s">
        <v>755</v>
      </c>
      <c r="P105" s="353" t="s">
        <v>712</v>
      </c>
    </row>
    <row r="106" spans="1:16">
      <c r="A106" s="367" t="s">
        <v>263</v>
      </c>
      <c r="B106" s="188">
        <v>1.1200000000000001</v>
      </c>
      <c r="D106" s="188" t="s">
        <v>37</v>
      </c>
      <c r="E106" s="188" t="s">
        <v>40</v>
      </c>
      <c r="F106" s="188" t="s">
        <v>29</v>
      </c>
      <c r="G106" s="188" t="s">
        <v>82</v>
      </c>
      <c r="H106" s="188" t="s">
        <v>33</v>
      </c>
      <c r="I106" s="188">
        <v>3</v>
      </c>
      <c r="J106" s="188">
        <f t="shared" si="3"/>
        <v>1.1200000000000001</v>
      </c>
      <c r="K106" s="188">
        <v>1.1116329410000001</v>
      </c>
      <c r="L106" s="188" t="s">
        <v>31</v>
      </c>
      <c r="M106" s="188" t="s">
        <v>31</v>
      </c>
      <c r="N106" s="188" t="s">
        <v>31</v>
      </c>
      <c r="O106" s="188" t="s">
        <v>756</v>
      </c>
      <c r="P106" s="188" t="s">
        <v>712</v>
      </c>
    </row>
    <row r="107" spans="1:16" s="342" customFormat="1">
      <c r="A107" s="368" t="s">
        <v>265</v>
      </c>
      <c r="B107" s="342">
        <v>1.1200000000000001</v>
      </c>
      <c r="C107" s="342" t="s">
        <v>266</v>
      </c>
      <c r="D107" s="342" t="s">
        <v>37</v>
      </c>
      <c r="E107" s="342" t="s">
        <v>40</v>
      </c>
      <c r="F107" s="342" t="s">
        <v>29</v>
      </c>
      <c r="G107" s="342" t="s">
        <v>82</v>
      </c>
      <c r="H107" s="342" t="s">
        <v>33</v>
      </c>
      <c r="I107" s="342">
        <v>3</v>
      </c>
      <c r="J107" s="342">
        <f t="shared" si="3"/>
        <v>1.1200000000000001</v>
      </c>
      <c r="K107" s="342">
        <v>1.1116329410000001</v>
      </c>
      <c r="L107" s="342" t="s">
        <v>31</v>
      </c>
      <c r="M107" s="342" t="s">
        <v>31</v>
      </c>
      <c r="N107" s="342" t="s">
        <v>31</v>
      </c>
      <c r="O107" s="342" t="s">
        <v>756</v>
      </c>
      <c r="P107" s="342" t="s">
        <v>712</v>
      </c>
    </row>
    <row r="108" spans="1:16">
      <c r="A108" s="188" t="s">
        <v>738</v>
      </c>
      <c r="B108" s="188">
        <f>0.541+3.12</f>
        <v>3.661</v>
      </c>
      <c r="D108" s="188" t="s">
        <v>37</v>
      </c>
      <c r="E108" s="188" t="s">
        <v>2</v>
      </c>
      <c r="F108" s="188" t="s">
        <v>29</v>
      </c>
      <c r="G108" s="37" t="s">
        <v>74</v>
      </c>
      <c r="H108" s="188" t="s">
        <v>33</v>
      </c>
      <c r="I108" s="188">
        <v>3</v>
      </c>
      <c r="J108" s="188">
        <f t="shared" si="3"/>
        <v>3.661</v>
      </c>
      <c r="K108" s="188">
        <v>1.058199144</v>
      </c>
      <c r="L108" s="188" t="s">
        <v>31</v>
      </c>
      <c r="M108" s="188" t="s">
        <v>31</v>
      </c>
      <c r="N108" s="188" t="s">
        <v>31</v>
      </c>
      <c r="O108" s="188" t="s">
        <v>757</v>
      </c>
      <c r="P108" s="188" t="s">
        <v>712</v>
      </c>
    </row>
    <row r="109" spans="1:16" s="349" customFormat="1" ht="13.5" thickBot="1">
      <c r="A109" s="369" t="s">
        <v>758</v>
      </c>
      <c r="B109" s="349">
        <v>0.21199999999999999</v>
      </c>
      <c r="D109" s="349" t="s">
        <v>37</v>
      </c>
      <c r="E109" s="349" t="s">
        <v>43</v>
      </c>
      <c r="F109" s="349" t="s">
        <v>44</v>
      </c>
      <c r="G109" s="365" t="s">
        <v>29</v>
      </c>
      <c r="H109" s="349" t="s">
        <v>45</v>
      </c>
      <c r="I109" s="349">
        <v>3</v>
      </c>
      <c r="J109" s="349">
        <f t="shared" si="3"/>
        <v>0.21199999999999999</v>
      </c>
      <c r="K109" s="349">
        <v>1.2292419450000001</v>
      </c>
      <c r="L109" s="349" t="s">
        <v>31</v>
      </c>
      <c r="M109" s="349" t="s">
        <v>31</v>
      </c>
      <c r="N109" s="349" t="s">
        <v>31</v>
      </c>
      <c r="O109" s="349" t="s">
        <v>759</v>
      </c>
    </row>
  </sheetData>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A4020-3B5B-49BC-B67D-A4CEE333426D}">
  <sheetPr>
    <tabColor theme="0"/>
  </sheetPr>
  <dimension ref="A1:R26"/>
  <sheetViews>
    <sheetView zoomScale="85" zoomScaleNormal="85" workbookViewId="0">
      <selection activeCell="A12" sqref="A12"/>
    </sheetView>
  </sheetViews>
  <sheetFormatPr defaultColWidth="9.140625" defaultRowHeight="12.95"/>
  <cols>
    <col min="1" max="1" width="68.42578125" style="188" bestFit="1" customWidth="1"/>
    <col min="2" max="2" width="40.7109375" style="188" bestFit="1" customWidth="1"/>
    <col min="3" max="3" width="5" style="188" bestFit="1" customWidth="1"/>
    <col min="4" max="4" width="14.5703125" style="188" bestFit="1" customWidth="1"/>
    <col min="5" max="5" width="11" style="188" bestFit="1" customWidth="1"/>
    <col min="6" max="6" width="9" style="188" bestFit="1" customWidth="1"/>
    <col min="7" max="7" width="13.42578125" style="188" bestFit="1" customWidth="1"/>
    <col min="8" max="8" width="17.7109375" style="188" bestFit="1" customWidth="1"/>
    <col min="9" max="9" width="10" style="188" customWidth="1"/>
    <col min="10" max="13" width="10.85546875" style="188" bestFit="1" customWidth="1"/>
    <col min="14" max="14" width="9.140625" style="188"/>
    <col min="15" max="15" width="11" style="188" customWidth="1"/>
    <col min="16" max="16384" width="9.140625" style="188"/>
  </cols>
  <sheetData>
    <row r="1" spans="1:18">
      <c r="A1" s="188" t="s">
        <v>0</v>
      </c>
      <c r="B1" s="188">
        <v>13</v>
      </c>
    </row>
    <row r="2" spans="1:18">
      <c r="A2" s="370" t="s">
        <v>5</v>
      </c>
      <c r="B2" s="371" t="s">
        <v>760</v>
      </c>
      <c r="C2" s="372"/>
      <c r="D2" s="353"/>
      <c r="E2" s="353"/>
      <c r="F2" s="353"/>
      <c r="G2" s="353"/>
      <c r="H2" s="353"/>
      <c r="I2" s="353"/>
      <c r="J2" s="353"/>
      <c r="K2" s="353"/>
      <c r="L2" s="353"/>
      <c r="M2" s="353"/>
    </row>
    <row r="3" spans="1:18">
      <c r="A3" s="346" t="s">
        <v>7</v>
      </c>
      <c r="B3" s="188" t="s">
        <v>761</v>
      </c>
      <c r="C3" s="345"/>
    </row>
    <row r="4" spans="1:18">
      <c r="A4" s="346" t="s">
        <v>9</v>
      </c>
      <c r="B4" s="188" t="s">
        <v>762</v>
      </c>
      <c r="C4" s="345"/>
    </row>
    <row r="5" spans="1:18" ht="39">
      <c r="A5" s="346" t="s">
        <v>11</v>
      </c>
      <c r="B5" s="347" t="s">
        <v>763</v>
      </c>
    </row>
    <row r="6" spans="1:18">
      <c r="A6" s="346" t="s">
        <v>13</v>
      </c>
      <c r="B6" s="188" t="s">
        <v>14</v>
      </c>
    </row>
    <row r="7" spans="1:18">
      <c r="A7" s="346" t="s">
        <v>15</v>
      </c>
      <c r="B7" s="188">
        <v>1</v>
      </c>
    </row>
    <row r="8" spans="1:18">
      <c r="A8" s="346" t="s">
        <v>16</v>
      </c>
      <c r="B8" s="188" t="s">
        <v>17</v>
      </c>
    </row>
    <row r="9" spans="1:18">
      <c r="A9" s="346" t="s">
        <v>18</v>
      </c>
      <c r="B9" s="188" t="s">
        <v>18</v>
      </c>
    </row>
    <row r="10" spans="1:18">
      <c r="A10" s="343" t="s">
        <v>19</v>
      </c>
    </row>
    <row r="11" spans="1:18">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row>
    <row r="12" spans="1:18">
      <c r="A12" s="346" t="s">
        <v>760</v>
      </c>
      <c r="B12" s="188">
        <v>1</v>
      </c>
      <c r="C12" s="188" t="s">
        <v>18</v>
      </c>
      <c r="D12" s="188" t="s">
        <v>2</v>
      </c>
      <c r="E12" s="188" t="s">
        <v>29</v>
      </c>
      <c r="F12" s="188" t="s">
        <v>14</v>
      </c>
      <c r="G12" s="188" t="s">
        <v>30</v>
      </c>
      <c r="H12" s="188">
        <v>1</v>
      </c>
      <c r="I12" s="188">
        <v>1</v>
      </c>
      <c r="J12" s="188" t="s">
        <v>31</v>
      </c>
      <c r="K12" s="188" t="s">
        <v>31</v>
      </c>
      <c r="L12" s="188" t="s">
        <v>31</v>
      </c>
      <c r="M12" s="188" t="s">
        <v>31</v>
      </c>
      <c r="O12" s="188" t="s">
        <v>764</v>
      </c>
      <c r="Q12" s="188" t="s">
        <v>765</v>
      </c>
    </row>
    <row r="13" spans="1:18">
      <c r="A13" s="373" t="s">
        <v>766</v>
      </c>
      <c r="B13" s="188">
        <v>2</v>
      </c>
      <c r="C13" s="188" t="s">
        <v>18</v>
      </c>
      <c r="D13" s="188" t="s">
        <v>2</v>
      </c>
      <c r="E13" s="188" t="s">
        <v>29</v>
      </c>
      <c r="F13" s="188" t="s">
        <v>14</v>
      </c>
      <c r="G13" s="188" t="s">
        <v>33</v>
      </c>
      <c r="H13" s="188">
        <v>2</v>
      </c>
      <c r="I13" s="188">
        <f>LN(B13)</f>
        <v>0.69314718055994529</v>
      </c>
      <c r="J13" s="188">
        <v>3.9051247999999997E-2</v>
      </c>
      <c r="K13" s="188" t="s">
        <v>31</v>
      </c>
      <c r="L13" s="188" t="s">
        <v>31</v>
      </c>
      <c r="M13" s="188" t="s">
        <v>31</v>
      </c>
      <c r="N13" s="374" t="s">
        <v>767</v>
      </c>
      <c r="O13" s="188">
        <v>16.670000000000002</v>
      </c>
      <c r="P13" s="188" t="s">
        <v>241</v>
      </c>
      <c r="Q13" s="188" t="s">
        <v>768</v>
      </c>
      <c r="R13" s="188" t="s">
        <v>769</v>
      </c>
    </row>
    <row r="14" spans="1:18">
      <c r="A14" s="375" t="s">
        <v>770</v>
      </c>
      <c r="B14" s="188">
        <v>2</v>
      </c>
      <c r="C14" s="188" t="s">
        <v>18</v>
      </c>
      <c r="D14" s="188" t="s">
        <v>2</v>
      </c>
      <c r="E14" s="188" t="s">
        <v>29</v>
      </c>
      <c r="F14" s="188" t="s">
        <v>14</v>
      </c>
      <c r="G14" s="188" t="s">
        <v>33</v>
      </c>
      <c r="H14" s="188">
        <v>2</v>
      </c>
      <c r="I14" s="188">
        <f>LN(B14)</f>
        <v>0.69314718055994529</v>
      </c>
      <c r="J14" s="188">
        <v>3.9051247999999997E-2</v>
      </c>
      <c r="K14" s="188" t="s">
        <v>31</v>
      </c>
      <c r="L14" s="188" t="s">
        <v>31</v>
      </c>
      <c r="M14" s="188" t="s">
        <v>31</v>
      </c>
      <c r="N14" s="375" t="s">
        <v>771</v>
      </c>
      <c r="O14" s="188">
        <f>4.4</f>
        <v>4.4000000000000004</v>
      </c>
      <c r="P14" s="188" t="s">
        <v>241</v>
      </c>
      <c r="Q14" s="188" t="s">
        <v>772</v>
      </c>
      <c r="R14" s="188" t="s">
        <v>773</v>
      </c>
    </row>
    <row r="15" spans="1:18">
      <c r="A15" s="376" t="s">
        <v>774</v>
      </c>
      <c r="B15" s="188">
        <v>5</v>
      </c>
      <c r="C15" s="188" t="s">
        <v>18</v>
      </c>
      <c r="D15" s="188" t="s">
        <v>2</v>
      </c>
      <c r="E15" s="188" t="s">
        <v>29</v>
      </c>
      <c r="F15" s="188" t="s">
        <v>14</v>
      </c>
      <c r="G15" s="188" t="s">
        <v>33</v>
      </c>
      <c r="H15" s="188">
        <v>2</v>
      </c>
      <c r="I15" s="188">
        <f t="shared" ref="I15:I17" si="0">LN(B15)</f>
        <v>1.6094379124341003</v>
      </c>
      <c r="J15" s="188">
        <v>3.9051247999999997E-2</v>
      </c>
      <c r="K15" s="188" t="s">
        <v>31</v>
      </c>
      <c r="L15" s="188" t="s">
        <v>31</v>
      </c>
      <c r="M15" s="188" t="s">
        <v>31</v>
      </c>
      <c r="N15" s="376" t="s">
        <v>775</v>
      </c>
      <c r="O15" s="188">
        <v>4.4000000000000004</v>
      </c>
      <c r="P15" s="188" t="s">
        <v>241</v>
      </c>
      <c r="Q15" s="188" t="s">
        <v>776</v>
      </c>
      <c r="R15" s="188" t="s">
        <v>773</v>
      </c>
    </row>
    <row r="16" spans="1:18">
      <c r="A16" s="377" t="s">
        <v>777</v>
      </c>
      <c r="B16" s="188">
        <v>10</v>
      </c>
      <c r="C16" s="188" t="s">
        <v>18</v>
      </c>
      <c r="D16" s="188" t="s">
        <v>2</v>
      </c>
      <c r="E16" s="188" t="s">
        <v>29</v>
      </c>
      <c r="F16" s="188" t="s">
        <v>14</v>
      </c>
      <c r="G16" s="188" t="s">
        <v>33</v>
      </c>
      <c r="H16" s="188">
        <v>2</v>
      </c>
      <c r="I16" s="188">
        <f t="shared" si="0"/>
        <v>2.3025850929940459</v>
      </c>
      <c r="J16" s="188">
        <v>3.9051247999999997E-2</v>
      </c>
      <c r="K16" s="188" t="s">
        <v>31</v>
      </c>
      <c r="L16" s="188" t="s">
        <v>31</v>
      </c>
      <c r="M16" s="188" t="s">
        <v>31</v>
      </c>
      <c r="N16" s="377" t="s">
        <v>778</v>
      </c>
      <c r="O16" s="188">
        <v>11.6</v>
      </c>
      <c r="P16" s="188" t="s">
        <v>241</v>
      </c>
      <c r="Q16" s="188" t="s">
        <v>779</v>
      </c>
      <c r="R16" s="188" t="s">
        <v>769</v>
      </c>
    </row>
    <row r="17" spans="1:18">
      <c r="A17" s="378" t="s">
        <v>780</v>
      </c>
      <c r="B17" s="188">
        <v>2</v>
      </c>
      <c r="C17" s="188" t="s">
        <v>18</v>
      </c>
      <c r="D17" s="188" t="s">
        <v>2</v>
      </c>
      <c r="E17" s="188" t="s">
        <v>29</v>
      </c>
      <c r="F17" s="188" t="s">
        <v>14</v>
      </c>
      <c r="G17" s="188" t="s">
        <v>33</v>
      </c>
      <c r="H17" s="188">
        <v>2</v>
      </c>
      <c r="I17" s="188">
        <f t="shared" si="0"/>
        <v>0.69314718055994529</v>
      </c>
      <c r="J17" s="188">
        <v>3.9051247999999997E-2</v>
      </c>
      <c r="K17" s="188" t="s">
        <v>31</v>
      </c>
      <c r="L17" s="188" t="s">
        <v>31</v>
      </c>
      <c r="M17" s="188" t="s">
        <v>31</v>
      </c>
      <c r="N17" s="378" t="s">
        <v>781</v>
      </c>
      <c r="O17" s="188">
        <v>36.6</v>
      </c>
      <c r="P17" s="188" t="s">
        <v>241</v>
      </c>
      <c r="Q17" s="188" t="s">
        <v>782</v>
      </c>
      <c r="R17" s="188" t="s">
        <v>783</v>
      </c>
    </row>
    <row r="21" spans="1:18">
      <c r="A21" s="371"/>
    </row>
    <row r="23" spans="1:18" ht="14.45">
      <c r="A23" s="379"/>
    </row>
    <row r="25" spans="1:18" ht="14.45">
      <c r="A25" s="334"/>
    </row>
    <row r="26" spans="1:18" ht="14.45">
      <c r="A26" s="380"/>
    </row>
  </sheetData>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8814F-EC0C-48BA-812D-6ADC99B356DA}">
  <sheetPr>
    <tabColor theme="0"/>
  </sheetPr>
  <dimension ref="A1:Q37"/>
  <sheetViews>
    <sheetView topLeftCell="A10" workbookViewId="0">
      <selection activeCell="A12" sqref="A12"/>
    </sheetView>
  </sheetViews>
  <sheetFormatPr defaultColWidth="9.140625" defaultRowHeight="15.6"/>
  <cols>
    <col min="1" max="1" width="43.140625" style="17" bestFit="1" customWidth="1"/>
    <col min="2" max="3" width="9.140625" style="17"/>
    <col min="4" max="4" width="34.42578125" style="17" bestFit="1" customWidth="1"/>
    <col min="5" max="16384" width="9.140625" style="17"/>
  </cols>
  <sheetData>
    <row r="1" spans="1:17">
      <c r="A1" s="188" t="s">
        <v>0</v>
      </c>
      <c r="B1" s="188">
        <v>13</v>
      </c>
      <c r="C1" s="188"/>
      <c r="D1" s="188"/>
      <c r="E1" s="188"/>
      <c r="F1" s="188"/>
      <c r="G1" s="188"/>
      <c r="H1" s="188"/>
      <c r="I1" s="188"/>
      <c r="J1" s="188"/>
      <c r="K1" s="188"/>
      <c r="L1" s="188"/>
      <c r="M1" s="188"/>
      <c r="N1" s="188"/>
    </row>
    <row r="2" spans="1:17">
      <c r="A2" s="370" t="s">
        <v>5</v>
      </c>
      <c r="B2" s="371" t="s">
        <v>784</v>
      </c>
      <c r="C2" s="372"/>
      <c r="D2" s="353"/>
      <c r="E2" s="353"/>
      <c r="F2" s="353"/>
      <c r="G2" s="353"/>
      <c r="H2" s="353"/>
      <c r="I2" s="353"/>
      <c r="J2" s="353"/>
      <c r="K2" s="353"/>
      <c r="L2" s="353"/>
      <c r="M2" s="353"/>
      <c r="N2" s="188"/>
      <c r="Q2" s="17" t="s">
        <v>785</v>
      </c>
    </row>
    <row r="3" spans="1:17">
      <c r="A3" s="346" t="s">
        <v>7</v>
      </c>
      <c r="B3" s="188" t="s">
        <v>786</v>
      </c>
      <c r="C3" s="345"/>
      <c r="D3" s="188"/>
      <c r="E3" s="188"/>
      <c r="F3" s="188"/>
      <c r="G3" s="188"/>
      <c r="H3" s="188"/>
      <c r="I3" s="188"/>
      <c r="J3" s="188"/>
      <c r="K3" s="188"/>
      <c r="L3" s="188"/>
      <c r="M3" s="188"/>
      <c r="N3" s="188"/>
    </row>
    <row r="4" spans="1:17">
      <c r="A4" s="346" t="s">
        <v>9</v>
      </c>
      <c r="B4" s="188" t="s">
        <v>787</v>
      </c>
      <c r="C4" s="345"/>
      <c r="D4" s="188"/>
      <c r="E4" s="188"/>
      <c r="F4" s="188"/>
      <c r="G4" s="188"/>
      <c r="H4" s="188"/>
      <c r="I4" s="188"/>
      <c r="J4" s="188"/>
      <c r="K4" s="188"/>
      <c r="L4" s="188"/>
      <c r="M4" s="188"/>
      <c r="N4" s="188"/>
    </row>
    <row r="5" spans="1:17">
      <c r="A5" s="346" t="s">
        <v>11</v>
      </c>
      <c r="B5" s="347" t="s">
        <v>788</v>
      </c>
      <c r="C5" s="188"/>
      <c r="D5" s="188"/>
      <c r="E5" s="188"/>
      <c r="F5" s="188"/>
      <c r="G5" s="188"/>
      <c r="H5" s="188"/>
      <c r="I5" s="188"/>
      <c r="J5" s="188"/>
      <c r="K5" s="188"/>
      <c r="L5" s="188"/>
      <c r="M5" s="188"/>
      <c r="N5" s="188"/>
    </row>
    <row r="6" spans="1:17">
      <c r="A6" s="346" t="s">
        <v>13</v>
      </c>
      <c r="B6" s="37" t="s">
        <v>74</v>
      </c>
      <c r="C6" s="188"/>
      <c r="D6" s="188"/>
      <c r="E6" s="188"/>
      <c r="F6" s="188"/>
      <c r="G6" s="188"/>
      <c r="H6" s="188"/>
      <c r="I6" s="188"/>
      <c r="J6" s="188"/>
      <c r="K6" s="188"/>
      <c r="L6" s="188"/>
      <c r="M6" s="188"/>
      <c r="N6" s="188"/>
    </row>
    <row r="7" spans="1:17">
      <c r="A7" s="346" t="s">
        <v>15</v>
      </c>
      <c r="B7" s="188">
        <v>1</v>
      </c>
      <c r="C7" s="188"/>
      <c r="D7" s="188"/>
      <c r="E7" s="188"/>
      <c r="F7" s="188"/>
      <c r="G7" s="188"/>
      <c r="H7" s="188"/>
      <c r="I7" s="188"/>
      <c r="J7" s="188"/>
      <c r="K7" s="188"/>
      <c r="L7" s="188"/>
      <c r="M7" s="188"/>
      <c r="N7" s="188"/>
    </row>
    <row r="8" spans="1:17">
      <c r="A8" s="346" t="s">
        <v>16</v>
      </c>
      <c r="B8" s="188" t="s">
        <v>17</v>
      </c>
      <c r="C8" s="188"/>
      <c r="D8" s="188"/>
      <c r="E8" s="188"/>
      <c r="F8" s="188"/>
      <c r="G8" s="188"/>
      <c r="H8" s="188"/>
      <c r="I8" s="188"/>
      <c r="J8" s="188"/>
      <c r="K8" s="188"/>
      <c r="L8" s="188"/>
      <c r="M8" s="188"/>
      <c r="N8" s="188"/>
    </row>
    <row r="9" spans="1:17">
      <c r="A9" s="346" t="s">
        <v>18</v>
      </c>
      <c r="B9" s="188" t="s">
        <v>37</v>
      </c>
      <c r="C9" s="188"/>
      <c r="D9" s="188"/>
      <c r="E9" s="188"/>
      <c r="F9" s="188"/>
      <c r="G9" s="188"/>
      <c r="H9" s="188"/>
      <c r="I9" s="188"/>
      <c r="J9" s="188"/>
      <c r="K9" s="188"/>
      <c r="L9" s="188"/>
      <c r="M9" s="188"/>
      <c r="N9" s="188"/>
    </row>
    <row r="10" spans="1:17">
      <c r="A10" s="343" t="s">
        <v>19</v>
      </c>
      <c r="B10" s="188"/>
      <c r="C10" s="188"/>
      <c r="D10" s="188"/>
      <c r="E10" s="188"/>
      <c r="F10" s="188"/>
      <c r="G10" s="188"/>
      <c r="H10" s="188"/>
      <c r="I10" s="188"/>
      <c r="J10" s="188"/>
      <c r="K10" s="188"/>
      <c r="L10" s="188"/>
      <c r="M10" s="188"/>
      <c r="N10" s="188"/>
    </row>
    <row r="11" spans="1:17">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17">
      <c r="A12" s="188" t="s">
        <v>784</v>
      </c>
      <c r="B12" s="188">
        <v>1</v>
      </c>
      <c r="C12" s="188" t="s">
        <v>37</v>
      </c>
      <c r="D12" s="188" t="s">
        <v>2</v>
      </c>
      <c r="E12" s="188" t="s">
        <v>29</v>
      </c>
      <c r="F12" s="37" t="s">
        <v>74</v>
      </c>
      <c r="G12" s="188" t="s">
        <v>30</v>
      </c>
      <c r="H12" s="188">
        <v>1</v>
      </c>
      <c r="I12" s="188">
        <v>1</v>
      </c>
      <c r="J12" s="188" t="s">
        <v>31</v>
      </c>
      <c r="K12" s="188" t="s">
        <v>31</v>
      </c>
      <c r="L12" s="188" t="s">
        <v>31</v>
      </c>
      <c r="M12" s="188" t="s">
        <v>31</v>
      </c>
      <c r="N12" s="188"/>
    </row>
    <row r="13" spans="1:17">
      <c r="A13" s="346" t="s">
        <v>789</v>
      </c>
      <c r="B13" s="188">
        <v>-1</v>
      </c>
      <c r="C13" s="188" t="s">
        <v>37</v>
      </c>
      <c r="D13" s="188" t="s">
        <v>40</v>
      </c>
      <c r="E13" s="188" t="s">
        <v>29</v>
      </c>
      <c r="F13" s="37" t="s">
        <v>74</v>
      </c>
      <c r="G13" s="188" t="s">
        <v>33</v>
      </c>
      <c r="H13" s="188">
        <v>1</v>
      </c>
      <c r="I13" s="188">
        <v>1</v>
      </c>
      <c r="J13" s="188" t="s">
        <v>31</v>
      </c>
      <c r="K13" s="188" t="s">
        <v>31</v>
      </c>
      <c r="L13" s="188" t="s">
        <v>31</v>
      </c>
      <c r="M13" s="188" t="s">
        <v>31</v>
      </c>
      <c r="N13" s="188"/>
    </row>
    <row r="14" spans="1:17">
      <c r="A14" s="370" t="s">
        <v>5</v>
      </c>
      <c r="B14" s="371" t="s">
        <v>790</v>
      </c>
      <c r="C14" s="372"/>
      <c r="D14" s="353"/>
      <c r="E14" s="353"/>
      <c r="F14" s="353"/>
      <c r="G14" s="353"/>
      <c r="H14" s="353"/>
      <c r="I14" s="353"/>
      <c r="J14" s="353"/>
      <c r="K14" s="353"/>
      <c r="L14" s="353"/>
      <c r="M14" s="353"/>
      <c r="N14" s="188"/>
    </row>
    <row r="15" spans="1:17">
      <c r="A15" s="346" t="s">
        <v>7</v>
      </c>
      <c r="B15" s="188" t="s">
        <v>786</v>
      </c>
      <c r="C15" s="345"/>
      <c r="D15" s="188"/>
      <c r="E15" s="188"/>
      <c r="F15" s="188"/>
      <c r="G15" s="188"/>
      <c r="H15" s="188"/>
      <c r="I15" s="188"/>
      <c r="J15" s="188"/>
      <c r="K15" s="188"/>
      <c r="L15" s="188"/>
      <c r="M15" s="188"/>
      <c r="N15" s="188"/>
    </row>
    <row r="16" spans="1:17">
      <c r="A16" s="346" t="s">
        <v>9</v>
      </c>
      <c r="B16" s="381" t="s">
        <v>791</v>
      </c>
      <c r="C16" s="345"/>
      <c r="D16" s="188"/>
      <c r="E16" s="188"/>
      <c r="F16" s="188"/>
      <c r="G16" s="188"/>
      <c r="H16" s="188"/>
      <c r="I16" s="188"/>
      <c r="J16" s="188"/>
      <c r="K16" s="188"/>
      <c r="L16" s="188"/>
      <c r="M16" s="188"/>
      <c r="N16" s="188"/>
    </row>
    <row r="17" spans="1:14">
      <c r="A17" s="346" t="s">
        <v>11</v>
      </c>
      <c r="B17" s="347" t="s">
        <v>788</v>
      </c>
      <c r="C17" s="188"/>
      <c r="D17" s="188"/>
      <c r="E17" s="188"/>
      <c r="F17" s="188"/>
      <c r="G17" s="188"/>
      <c r="H17" s="188"/>
      <c r="I17" s="188"/>
      <c r="J17" s="188"/>
      <c r="K17" s="188"/>
      <c r="L17" s="188"/>
      <c r="M17" s="188"/>
      <c r="N17" s="188"/>
    </row>
    <row r="18" spans="1:14">
      <c r="A18" s="346" t="s">
        <v>13</v>
      </c>
      <c r="B18" s="37" t="s">
        <v>74</v>
      </c>
      <c r="C18" s="188"/>
      <c r="D18" s="188"/>
      <c r="E18" s="188"/>
      <c r="F18" s="188"/>
      <c r="G18" s="188"/>
      <c r="H18" s="188"/>
      <c r="I18" s="188"/>
      <c r="J18" s="188"/>
      <c r="K18" s="188"/>
      <c r="L18" s="188"/>
      <c r="M18" s="188"/>
      <c r="N18" s="188"/>
    </row>
    <row r="19" spans="1:14">
      <c r="A19" s="346" t="s">
        <v>15</v>
      </c>
      <c r="B19" s="188">
        <v>1</v>
      </c>
      <c r="C19" s="188"/>
      <c r="D19" s="188"/>
      <c r="E19" s="188"/>
      <c r="F19" s="188"/>
      <c r="G19" s="188"/>
      <c r="H19" s="188"/>
      <c r="I19" s="188"/>
      <c r="J19" s="188"/>
      <c r="K19" s="188"/>
      <c r="L19" s="188"/>
      <c r="M19" s="188"/>
      <c r="N19" s="188"/>
    </row>
    <row r="20" spans="1:14">
      <c r="A20" s="346" t="s">
        <v>16</v>
      </c>
      <c r="B20" s="188" t="s">
        <v>17</v>
      </c>
      <c r="C20" s="188"/>
      <c r="D20" s="188"/>
      <c r="E20" s="188"/>
      <c r="F20" s="188"/>
      <c r="G20" s="188"/>
      <c r="H20" s="188"/>
      <c r="I20" s="188"/>
      <c r="J20" s="188"/>
      <c r="K20" s="188"/>
      <c r="L20" s="188"/>
      <c r="M20" s="188"/>
      <c r="N20" s="188"/>
    </row>
    <row r="21" spans="1:14">
      <c r="A21" s="346" t="s">
        <v>18</v>
      </c>
      <c r="B21" s="188" t="s">
        <v>37</v>
      </c>
      <c r="C21" s="188"/>
      <c r="D21" s="188"/>
      <c r="E21" s="188"/>
      <c r="F21" s="188"/>
      <c r="G21" s="188"/>
      <c r="H21" s="188"/>
      <c r="I21" s="188"/>
      <c r="J21" s="188"/>
      <c r="K21" s="188"/>
      <c r="L21" s="188"/>
      <c r="M21" s="188"/>
      <c r="N21" s="188"/>
    </row>
    <row r="22" spans="1:14">
      <c r="A22" s="343" t="s">
        <v>19</v>
      </c>
      <c r="B22" s="188"/>
      <c r="C22" s="188"/>
      <c r="D22" s="188"/>
      <c r="E22" s="188"/>
      <c r="F22" s="188"/>
      <c r="G22" s="188"/>
      <c r="H22" s="188"/>
      <c r="I22" s="188"/>
      <c r="J22" s="188"/>
      <c r="K22" s="188"/>
      <c r="L22" s="188"/>
      <c r="M22" s="188"/>
      <c r="N22" s="188"/>
    </row>
    <row r="23" spans="1:14">
      <c r="A23" s="343" t="s">
        <v>20</v>
      </c>
      <c r="B23" s="344" t="s">
        <v>21</v>
      </c>
      <c r="C23" s="344" t="s">
        <v>18</v>
      </c>
      <c r="D23" s="344" t="s">
        <v>22</v>
      </c>
      <c r="E23" s="344" t="s">
        <v>7</v>
      </c>
      <c r="F23" s="344" t="s">
        <v>13</v>
      </c>
      <c r="G23" s="344" t="s">
        <v>16</v>
      </c>
      <c r="H23" s="344" t="s">
        <v>23</v>
      </c>
      <c r="I23" s="344" t="s">
        <v>24</v>
      </c>
      <c r="J23" s="344" t="s">
        <v>25</v>
      </c>
      <c r="K23" s="344" t="s">
        <v>26</v>
      </c>
      <c r="L23" s="344" t="s">
        <v>27</v>
      </c>
      <c r="M23" s="344" t="s">
        <v>28</v>
      </c>
      <c r="N23" s="344" t="s">
        <v>11</v>
      </c>
    </row>
    <row r="24" spans="1:14">
      <c r="A24" s="188" t="s">
        <v>790</v>
      </c>
      <c r="B24" s="188">
        <v>1</v>
      </c>
      <c r="C24" s="188" t="s">
        <v>37</v>
      </c>
      <c r="D24" s="188" t="s">
        <v>2</v>
      </c>
      <c r="E24" s="188" t="s">
        <v>29</v>
      </c>
      <c r="F24" s="37" t="s">
        <v>74</v>
      </c>
      <c r="G24" s="188" t="s">
        <v>30</v>
      </c>
      <c r="H24" s="188">
        <v>1</v>
      </c>
      <c r="I24" s="188">
        <v>1</v>
      </c>
      <c r="J24" s="188" t="s">
        <v>31</v>
      </c>
      <c r="K24" s="188" t="s">
        <v>31</v>
      </c>
      <c r="L24" s="188" t="s">
        <v>31</v>
      </c>
      <c r="M24" s="188" t="s">
        <v>31</v>
      </c>
      <c r="N24" s="188"/>
    </row>
    <row r="25" spans="1:14">
      <c r="A25" s="346" t="s">
        <v>312</v>
      </c>
      <c r="B25" s="188">
        <v>-1</v>
      </c>
      <c r="C25" s="188" t="s">
        <v>37</v>
      </c>
      <c r="D25" s="188" t="s">
        <v>40</v>
      </c>
      <c r="E25" s="188" t="s">
        <v>29</v>
      </c>
      <c r="F25" s="188" t="s">
        <v>74</v>
      </c>
      <c r="G25" s="188" t="s">
        <v>33</v>
      </c>
      <c r="H25" s="188">
        <v>1</v>
      </c>
      <c r="I25" s="188">
        <v>1</v>
      </c>
      <c r="J25" s="188" t="s">
        <v>31</v>
      </c>
      <c r="K25" s="188" t="s">
        <v>31</v>
      </c>
      <c r="L25" s="188" t="s">
        <v>31</v>
      </c>
      <c r="M25" s="188" t="s">
        <v>31</v>
      </c>
      <c r="N25" s="188"/>
    </row>
    <row r="26" spans="1:14">
      <c r="A26" s="370" t="s">
        <v>5</v>
      </c>
      <c r="B26" s="371" t="s">
        <v>738</v>
      </c>
      <c r="C26" s="372"/>
      <c r="D26" s="353"/>
      <c r="E26" s="353"/>
      <c r="F26" s="353"/>
      <c r="G26" s="353"/>
      <c r="H26" s="353"/>
      <c r="I26" s="353"/>
      <c r="J26" s="353"/>
      <c r="K26" s="353"/>
      <c r="L26" s="353"/>
      <c r="M26" s="353"/>
      <c r="N26" s="188"/>
    </row>
    <row r="27" spans="1:14">
      <c r="A27" s="346" t="s">
        <v>7</v>
      </c>
      <c r="B27" s="188" t="s">
        <v>786</v>
      </c>
      <c r="C27" s="345"/>
      <c r="D27" s="188"/>
      <c r="E27" s="188"/>
      <c r="F27" s="188"/>
      <c r="G27" s="188"/>
      <c r="H27" s="188"/>
      <c r="I27" s="188"/>
      <c r="J27" s="188"/>
      <c r="K27" s="188"/>
      <c r="L27" s="188"/>
      <c r="M27" s="188"/>
      <c r="N27" s="188"/>
    </row>
    <row r="28" spans="1:14">
      <c r="A28" s="346" t="s">
        <v>9</v>
      </c>
      <c r="B28" s="381" t="s">
        <v>792</v>
      </c>
      <c r="C28" s="345"/>
      <c r="D28" s="188"/>
      <c r="E28" s="188"/>
      <c r="F28" s="188"/>
      <c r="G28" s="188"/>
      <c r="H28" s="188"/>
      <c r="I28" s="188"/>
      <c r="J28" s="188"/>
      <c r="K28" s="188"/>
      <c r="L28" s="188"/>
      <c r="M28" s="188"/>
      <c r="N28" s="188"/>
    </row>
    <row r="29" spans="1:14">
      <c r="A29" s="346" t="s">
        <v>11</v>
      </c>
      <c r="B29" s="347" t="s">
        <v>788</v>
      </c>
      <c r="C29" s="188"/>
      <c r="D29" s="188"/>
      <c r="E29" s="188"/>
      <c r="F29" s="188"/>
      <c r="G29" s="188"/>
      <c r="H29" s="188"/>
      <c r="I29" s="188"/>
      <c r="J29" s="188"/>
      <c r="K29" s="188"/>
      <c r="L29" s="188"/>
      <c r="M29" s="188"/>
      <c r="N29" s="188"/>
    </row>
    <row r="30" spans="1:14">
      <c r="A30" s="346" t="s">
        <v>13</v>
      </c>
      <c r="B30" s="37" t="s">
        <v>74</v>
      </c>
      <c r="C30" s="188"/>
      <c r="D30" s="188"/>
      <c r="E30" s="188"/>
      <c r="F30" s="188"/>
      <c r="G30" s="188"/>
      <c r="H30" s="188"/>
      <c r="I30" s="188"/>
      <c r="J30" s="188"/>
      <c r="K30" s="188"/>
      <c r="L30" s="188"/>
      <c r="M30" s="188"/>
      <c r="N30" s="188"/>
    </row>
    <row r="31" spans="1:14">
      <c r="A31" s="346" t="s">
        <v>15</v>
      </c>
      <c r="B31" s="188">
        <v>1</v>
      </c>
      <c r="C31" s="188"/>
      <c r="D31" s="188"/>
      <c r="E31" s="188"/>
      <c r="F31" s="188"/>
      <c r="G31" s="188"/>
      <c r="H31" s="188"/>
      <c r="I31" s="188"/>
      <c r="J31" s="188"/>
      <c r="K31" s="188"/>
      <c r="L31" s="188"/>
      <c r="M31" s="188"/>
      <c r="N31" s="188"/>
    </row>
    <row r="32" spans="1:14">
      <c r="A32" s="346" t="s">
        <v>16</v>
      </c>
      <c r="B32" s="188" t="s">
        <v>17</v>
      </c>
      <c r="C32" s="188"/>
      <c r="D32" s="188"/>
      <c r="E32" s="188"/>
      <c r="F32" s="188"/>
      <c r="G32" s="188"/>
      <c r="H32" s="188"/>
      <c r="I32" s="188"/>
      <c r="J32" s="188"/>
      <c r="K32" s="188"/>
      <c r="L32" s="188"/>
      <c r="M32" s="188"/>
      <c r="N32" s="188"/>
    </row>
    <row r="33" spans="1:14">
      <c r="A33" s="346" t="s">
        <v>18</v>
      </c>
      <c r="B33" s="188" t="s">
        <v>37</v>
      </c>
      <c r="C33" s="188"/>
      <c r="D33" s="188"/>
      <c r="E33" s="188"/>
      <c r="F33" s="188"/>
      <c r="G33" s="188"/>
      <c r="H33" s="188"/>
      <c r="I33" s="188"/>
      <c r="J33" s="188"/>
      <c r="K33" s="188"/>
      <c r="L33" s="188"/>
      <c r="M33" s="188"/>
      <c r="N33" s="188"/>
    </row>
    <row r="34" spans="1:14">
      <c r="A34" s="343" t="s">
        <v>19</v>
      </c>
      <c r="B34" s="188"/>
      <c r="C34" s="188"/>
      <c r="D34" s="188"/>
      <c r="E34" s="188"/>
      <c r="F34" s="188"/>
      <c r="G34" s="188"/>
      <c r="H34" s="188"/>
      <c r="I34" s="188"/>
      <c r="J34" s="188"/>
      <c r="K34" s="188"/>
      <c r="L34" s="188"/>
      <c r="M34" s="188"/>
      <c r="N34" s="188"/>
    </row>
    <row r="35" spans="1:14">
      <c r="A35" s="343" t="s">
        <v>20</v>
      </c>
      <c r="B35" s="344" t="s">
        <v>21</v>
      </c>
      <c r="C35" s="344" t="s">
        <v>18</v>
      </c>
      <c r="D35" s="344" t="s">
        <v>22</v>
      </c>
      <c r="E35" s="344" t="s">
        <v>7</v>
      </c>
      <c r="F35" s="344" t="s">
        <v>13</v>
      </c>
      <c r="G35" s="344" t="s">
        <v>16</v>
      </c>
      <c r="H35" s="344" t="s">
        <v>23</v>
      </c>
      <c r="I35" s="344" t="s">
        <v>24</v>
      </c>
      <c r="J35" s="344" t="s">
        <v>25</v>
      </c>
      <c r="K35" s="344" t="s">
        <v>26</v>
      </c>
      <c r="L35" s="344" t="s">
        <v>27</v>
      </c>
      <c r="M35" s="344" t="s">
        <v>28</v>
      </c>
      <c r="N35" s="344" t="s">
        <v>11</v>
      </c>
    </row>
    <row r="36" spans="1:14">
      <c r="A36" s="188" t="s">
        <v>738</v>
      </c>
      <c r="B36" s="188">
        <v>1</v>
      </c>
      <c r="C36" s="188" t="s">
        <v>37</v>
      </c>
      <c r="D36" s="188" t="s">
        <v>2</v>
      </c>
      <c r="E36" s="188" t="s">
        <v>29</v>
      </c>
      <c r="F36" s="37" t="s">
        <v>74</v>
      </c>
      <c r="G36" s="188" t="s">
        <v>30</v>
      </c>
      <c r="H36" s="188">
        <v>1</v>
      </c>
      <c r="I36" s="188">
        <v>1</v>
      </c>
      <c r="J36" s="188" t="s">
        <v>31</v>
      </c>
      <c r="K36" s="188" t="s">
        <v>31</v>
      </c>
      <c r="L36" s="188" t="s">
        <v>31</v>
      </c>
      <c r="M36" s="188" t="s">
        <v>31</v>
      </c>
      <c r="N36" s="188"/>
    </row>
    <row r="37" spans="1:14">
      <c r="A37" s="37" t="s">
        <v>793</v>
      </c>
      <c r="B37" s="188">
        <v>-1</v>
      </c>
      <c r="C37" s="188" t="s">
        <v>37</v>
      </c>
      <c r="D37" s="188" t="s">
        <v>40</v>
      </c>
      <c r="E37" s="188" t="s">
        <v>29</v>
      </c>
      <c r="F37" s="37" t="s">
        <v>82</v>
      </c>
      <c r="G37" s="188" t="s">
        <v>33</v>
      </c>
      <c r="H37" s="188">
        <v>1</v>
      </c>
      <c r="I37" s="188">
        <v>1</v>
      </c>
      <c r="J37" s="188" t="s">
        <v>31</v>
      </c>
      <c r="K37" s="188" t="s">
        <v>31</v>
      </c>
      <c r="L37" s="188" t="s">
        <v>31</v>
      </c>
      <c r="M37" s="188" t="s">
        <v>31</v>
      </c>
      <c r="N37" s="188"/>
    </row>
  </sheetData>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B8B19-9B60-49E5-8F07-B499A7A8C425}">
  <sheetPr>
    <tabColor theme="0"/>
  </sheetPr>
  <dimension ref="A1:T52"/>
  <sheetViews>
    <sheetView workbookViewId="0">
      <selection activeCell="A12" sqref="A12"/>
    </sheetView>
  </sheetViews>
  <sheetFormatPr defaultColWidth="9.140625" defaultRowHeight="12.95"/>
  <cols>
    <col min="1" max="1" width="67.140625" style="188" customWidth="1"/>
    <col min="2" max="3" width="9.140625" style="188" customWidth="1"/>
    <col min="4" max="4" width="13.28515625" style="188" customWidth="1"/>
    <col min="5" max="5" width="39.5703125" style="188" customWidth="1"/>
    <col min="6" max="6" width="12.28515625" style="188" customWidth="1"/>
    <col min="7" max="7" width="27.85546875" style="188" customWidth="1"/>
    <col min="8" max="8" width="13.7109375" style="188" customWidth="1"/>
    <col min="9" max="18" width="9.140625" style="188"/>
    <col min="19" max="20" width="5.7109375" style="188" customWidth="1"/>
    <col min="21" max="16384" width="9.140625" style="188"/>
  </cols>
  <sheetData>
    <row r="1" spans="1:16">
      <c r="A1" s="188" t="s">
        <v>0</v>
      </c>
      <c r="B1" s="188">
        <v>14</v>
      </c>
    </row>
    <row r="2" spans="1:16">
      <c r="A2" s="370" t="s">
        <v>5</v>
      </c>
      <c r="B2" s="371" t="s">
        <v>794</v>
      </c>
      <c r="C2" s="371"/>
      <c r="D2" s="372"/>
      <c r="E2" s="353"/>
      <c r="F2" s="353"/>
      <c r="G2" s="353"/>
      <c r="H2" s="353"/>
      <c r="I2" s="353"/>
      <c r="J2" s="353"/>
      <c r="K2" s="353"/>
      <c r="L2" s="353"/>
      <c r="M2" s="353"/>
      <c r="N2" s="353"/>
      <c r="P2" s="188" t="s">
        <v>785</v>
      </c>
    </row>
    <row r="3" spans="1:16">
      <c r="A3" s="346" t="s">
        <v>7</v>
      </c>
      <c r="B3" s="188" t="s">
        <v>786</v>
      </c>
      <c r="D3" s="345"/>
    </row>
    <row r="4" spans="1:16">
      <c r="A4" s="346" t="s">
        <v>9</v>
      </c>
      <c r="B4" s="188" t="s">
        <v>795</v>
      </c>
      <c r="D4" s="345"/>
    </row>
    <row r="5" spans="1:16" ht="15" customHeight="1">
      <c r="A5" s="346" t="s">
        <v>11</v>
      </c>
      <c r="B5" s="347" t="s">
        <v>796</v>
      </c>
      <c r="C5" s="347"/>
    </row>
    <row r="6" spans="1:16">
      <c r="A6" s="346" t="s">
        <v>13</v>
      </c>
      <c r="B6" s="188" t="s">
        <v>14</v>
      </c>
    </row>
    <row r="7" spans="1:16">
      <c r="A7" s="346" t="s">
        <v>15</v>
      </c>
      <c r="B7" s="188">
        <v>7.7843999999999997E-2</v>
      </c>
    </row>
    <row r="8" spans="1:16">
      <c r="A8" s="346" t="s">
        <v>16</v>
      </c>
      <c r="B8" s="188" t="s">
        <v>17</v>
      </c>
    </row>
    <row r="9" spans="1:16">
      <c r="A9" s="346" t="s">
        <v>18</v>
      </c>
      <c r="B9" s="188" t="s">
        <v>37</v>
      </c>
    </row>
    <row r="10" spans="1:16">
      <c r="A10" s="343" t="s">
        <v>19</v>
      </c>
    </row>
    <row r="11" spans="1:16">
      <c r="A11" s="343" t="s">
        <v>20</v>
      </c>
      <c r="B11" s="344" t="s">
        <v>21</v>
      </c>
      <c r="C11" s="382" t="s">
        <v>217</v>
      </c>
      <c r="D11" s="344" t="s">
        <v>18</v>
      </c>
      <c r="E11" s="344" t="s">
        <v>22</v>
      </c>
      <c r="F11" s="344" t="s">
        <v>7</v>
      </c>
      <c r="G11" s="344" t="s">
        <v>13</v>
      </c>
      <c r="H11" s="344" t="s">
        <v>16</v>
      </c>
      <c r="I11" s="344" t="s">
        <v>23</v>
      </c>
      <c r="J11" s="344" t="s">
        <v>24</v>
      </c>
      <c r="K11" s="344" t="s">
        <v>25</v>
      </c>
      <c r="L11" s="344" t="s">
        <v>26</v>
      </c>
      <c r="M11" s="344" t="s">
        <v>27</v>
      </c>
      <c r="N11" s="344" t="s">
        <v>28</v>
      </c>
      <c r="O11" s="344" t="s">
        <v>11</v>
      </c>
    </row>
    <row r="12" spans="1:16">
      <c r="A12" s="346" t="s">
        <v>794</v>
      </c>
      <c r="B12" s="188">
        <v>7.7843999999999997E-2</v>
      </c>
      <c r="D12" s="188" t="s">
        <v>37</v>
      </c>
      <c r="E12" s="188" t="s">
        <v>2</v>
      </c>
      <c r="F12" s="188" t="s">
        <v>29</v>
      </c>
      <c r="G12" s="37" t="s">
        <v>14</v>
      </c>
      <c r="H12" s="188" t="s">
        <v>30</v>
      </c>
      <c r="I12" s="188">
        <v>1</v>
      </c>
      <c r="J12" s="188">
        <f>B12</f>
        <v>7.7843999999999997E-2</v>
      </c>
      <c r="K12" s="188" t="s">
        <v>31</v>
      </c>
      <c r="L12" s="188" t="s">
        <v>31</v>
      </c>
      <c r="M12" s="188" t="s">
        <v>31</v>
      </c>
      <c r="N12" s="188" t="s">
        <v>31</v>
      </c>
    </row>
    <row r="13" spans="1:16">
      <c r="A13" s="346" t="s">
        <v>797</v>
      </c>
      <c r="B13" s="188">
        <v>1</v>
      </c>
      <c r="D13" s="188" t="s">
        <v>18</v>
      </c>
      <c r="E13" s="188" t="s">
        <v>2</v>
      </c>
      <c r="F13" s="188" t="s">
        <v>29</v>
      </c>
      <c r="G13" s="37" t="s">
        <v>14</v>
      </c>
      <c r="H13" s="188" t="s">
        <v>33</v>
      </c>
      <c r="I13" s="188">
        <v>1</v>
      </c>
      <c r="J13" s="188">
        <f>B13</f>
        <v>1</v>
      </c>
      <c r="K13" s="188" t="s">
        <v>31</v>
      </c>
      <c r="L13" s="188" t="s">
        <v>31</v>
      </c>
      <c r="M13" s="188" t="s">
        <v>31</v>
      </c>
      <c r="N13" s="188" t="s">
        <v>31</v>
      </c>
    </row>
    <row r="14" spans="1:16">
      <c r="A14" s="346" t="s">
        <v>269</v>
      </c>
      <c r="B14" s="188">
        <v>1.02</v>
      </c>
      <c r="D14" s="188" t="s">
        <v>39</v>
      </c>
      <c r="E14" s="188" t="s">
        <v>40</v>
      </c>
      <c r="F14" s="188" t="s">
        <v>29</v>
      </c>
      <c r="G14" s="37" t="s">
        <v>14</v>
      </c>
      <c r="H14" s="188" t="s">
        <v>33</v>
      </c>
      <c r="I14" s="188">
        <v>2</v>
      </c>
      <c r="J14" s="188">
        <f>LN(B14)</f>
        <v>1.980262729617973E-2</v>
      </c>
      <c r="K14" s="188">
        <v>3.7749171999999998E-2</v>
      </c>
      <c r="L14" s="188" t="s">
        <v>31</v>
      </c>
      <c r="M14" s="188" t="s">
        <v>31</v>
      </c>
      <c r="N14" s="188" t="s">
        <v>31</v>
      </c>
    </row>
    <row r="15" spans="1:16">
      <c r="A15" s="346" t="s">
        <v>798</v>
      </c>
      <c r="B15" s="188">
        <f>1.4/1000</f>
        <v>1.4E-3</v>
      </c>
      <c r="D15" s="188" t="s">
        <v>37</v>
      </c>
      <c r="E15" s="188" t="s">
        <v>40</v>
      </c>
      <c r="F15" s="188" t="s">
        <v>29</v>
      </c>
      <c r="G15" s="37" t="s">
        <v>35</v>
      </c>
      <c r="H15" s="188" t="s">
        <v>33</v>
      </c>
      <c r="I15" s="188">
        <v>2</v>
      </c>
      <c r="J15" s="188">
        <f t="shared" ref="J15:J27" si="0">LN(B15)</f>
        <v>-6.5712830423609239</v>
      </c>
      <c r="K15" s="188">
        <v>3.7749171999999998E-2</v>
      </c>
      <c r="L15" s="188" t="s">
        <v>31</v>
      </c>
      <c r="M15" s="188" t="s">
        <v>31</v>
      </c>
      <c r="N15" s="188" t="s">
        <v>31</v>
      </c>
    </row>
    <row r="16" spans="1:16">
      <c r="A16" s="346" t="s">
        <v>308</v>
      </c>
      <c r="B16" s="188">
        <f>0.2/1000</f>
        <v>2.0000000000000001E-4</v>
      </c>
      <c r="D16" s="188" t="s">
        <v>37</v>
      </c>
      <c r="E16" s="188" t="s">
        <v>40</v>
      </c>
      <c r="F16" s="188" t="s">
        <v>29</v>
      </c>
      <c r="G16" s="37" t="s">
        <v>59</v>
      </c>
      <c r="H16" s="188" t="s">
        <v>33</v>
      </c>
      <c r="I16" s="188">
        <v>2</v>
      </c>
      <c r="J16" s="188">
        <f t="shared" si="0"/>
        <v>-8.5171931914162382</v>
      </c>
      <c r="K16" s="188">
        <v>3.7749171999999998E-2</v>
      </c>
      <c r="L16" s="188" t="s">
        <v>31</v>
      </c>
      <c r="M16" s="188" t="s">
        <v>31</v>
      </c>
      <c r="N16" s="188" t="s">
        <v>31</v>
      </c>
    </row>
    <row r="17" spans="1:14">
      <c r="A17" s="346" t="s">
        <v>799</v>
      </c>
      <c r="B17" s="188">
        <f>7.1/1000</f>
        <v>7.0999999999999995E-3</v>
      </c>
      <c r="D17" s="188" t="s">
        <v>37</v>
      </c>
      <c r="E17" s="188" t="s">
        <v>40</v>
      </c>
      <c r="F17" s="188" t="s">
        <v>29</v>
      </c>
      <c r="G17" s="37" t="s">
        <v>74</v>
      </c>
      <c r="H17" s="188" t="s">
        <v>33</v>
      </c>
      <c r="I17" s="188">
        <v>2</v>
      </c>
      <c r="J17" s="188">
        <f t="shared" si="0"/>
        <v>-4.9476604949348673</v>
      </c>
      <c r="K17" s="188">
        <v>3.7749171999999998E-2</v>
      </c>
      <c r="L17" s="188" t="s">
        <v>31</v>
      </c>
      <c r="M17" s="188" t="s">
        <v>31</v>
      </c>
      <c r="N17" s="188" t="s">
        <v>31</v>
      </c>
    </row>
    <row r="18" spans="1:14">
      <c r="A18" s="346" t="s">
        <v>202</v>
      </c>
      <c r="B18" s="188">
        <v>1.4</v>
      </c>
      <c r="D18" s="188" t="s">
        <v>37</v>
      </c>
      <c r="E18" s="188" t="s">
        <v>40</v>
      </c>
      <c r="F18" s="188" t="s">
        <v>29</v>
      </c>
      <c r="G18" s="37" t="s">
        <v>35</v>
      </c>
      <c r="H18" s="188" t="s">
        <v>33</v>
      </c>
      <c r="I18" s="188">
        <v>2</v>
      </c>
      <c r="J18" s="188">
        <f t="shared" si="0"/>
        <v>0.33647223662121289</v>
      </c>
      <c r="K18" s="188">
        <v>3.7749171999999998E-2</v>
      </c>
      <c r="L18" s="188" t="s">
        <v>31</v>
      </c>
      <c r="M18" s="188" t="s">
        <v>31</v>
      </c>
      <c r="N18" s="188" t="s">
        <v>31</v>
      </c>
    </row>
    <row r="19" spans="1:14">
      <c r="A19" s="346" t="s">
        <v>800</v>
      </c>
      <c r="B19" s="188">
        <v>2E-3</v>
      </c>
      <c r="D19" s="188" t="s">
        <v>37</v>
      </c>
      <c r="E19" s="188" t="s">
        <v>40</v>
      </c>
      <c r="F19" s="188" t="s">
        <v>29</v>
      </c>
      <c r="G19" s="37" t="s">
        <v>59</v>
      </c>
      <c r="H19" s="188" t="s">
        <v>33</v>
      </c>
      <c r="I19" s="188">
        <v>2</v>
      </c>
      <c r="J19" s="188">
        <f t="shared" si="0"/>
        <v>-6.2146080984221914</v>
      </c>
      <c r="K19" s="188">
        <v>3.7749171999999998E-2</v>
      </c>
      <c r="L19" s="188" t="s">
        <v>31</v>
      </c>
      <c r="M19" s="188" t="s">
        <v>31</v>
      </c>
      <c r="N19" s="188" t="s">
        <v>31</v>
      </c>
    </row>
    <row r="20" spans="1:14">
      <c r="A20" s="346" t="s">
        <v>801</v>
      </c>
      <c r="B20" s="188">
        <v>3.0000000000000001E-3</v>
      </c>
      <c r="D20" s="188" t="s">
        <v>37</v>
      </c>
      <c r="E20" s="188" t="s">
        <v>40</v>
      </c>
      <c r="F20" s="188" t="s">
        <v>29</v>
      </c>
      <c r="G20" s="37" t="s">
        <v>59</v>
      </c>
      <c r="H20" s="188" t="s">
        <v>33</v>
      </c>
      <c r="I20" s="188">
        <v>2</v>
      </c>
      <c r="J20" s="188">
        <f t="shared" si="0"/>
        <v>-5.8091429903140277</v>
      </c>
      <c r="K20" s="188">
        <v>3.7749171999999998E-2</v>
      </c>
      <c r="L20" s="188" t="s">
        <v>31</v>
      </c>
      <c r="M20" s="188" t="s">
        <v>31</v>
      </c>
      <c r="N20" s="188" t="s">
        <v>31</v>
      </c>
    </row>
    <row r="21" spans="1:14">
      <c r="A21" s="346" t="s">
        <v>802</v>
      </c>
      <c r="B21" s="188">
        <v>2.9999999999999997E-4</v>
      </c>
      <c r="D21" s="188" t="s">
        <v>37</v>
      </c>
      <c r="E21" s="188" t="s">
        <v>40</v>
      </c>
      <c r="F21" s="188" t="s">
        <v>29</v>
      </c>
      <c r="G21" s="37" t="s">
        <v>35</v>
      </c>
      <c r="H21" s="188" t="s">
        <v>33</v>
      </c>
      <c r="I21" s="188">
        <v>2</v>
      </c>
      <c r="J21" s="188">
        <f t="shared" si="0"/>
        <v>-8.1117280833080727</v>
      </c>
      <c r="K21" s="188">
        <v>3.7749171999999998E-2</v>
      </c>
      <c r="L21" s="188" t="s">
        <v>31</v>
      </c>
      <c r="M21" s="188" t="s">
        <v>31</v>
      </c>
      <c r="N21" s="188" t="s">
        <v>31</v>
      </c>
    </row>
    <row r="22" spans="1:14">
      <c r="A22" s="346" t="s">
        <v>803</v>
      </c>
      <c r="B22" s="188">
        <v>1.5E-3</v>
      </c>
      <c r="D22" s="188" t="s">
        <v>37</v>
      </c>
      <c r="E22" s="188" t="s">
        <v>40</v>
      </c>
      <c r="F22" s="188" t="s">
        <v>29</v>
      </c>
      <c r="G22" s="37" t="s">
        <v>59</v>
      </c>
      <c r="H22" s="188" t="s">
        <v>33</v>
      </c>
      <c r="I22" s="188">
        <v>2</v>
      </c>
      <c r="J22" s="188">
        <f t="shared" si="0"/>
        <v>-6.5022901708739722</v>
      </c>
      <c r="K22" s="188">
        <v>3.7749171999999998E-2</v>
      </c>
      <c r="L22" s="188" t="s">
        <v>31</v>
      </c>
      <c r="M22" s="188" t="s">
        <v>31</v>
      </c>
      <c r="N22" s="188" t="s">
        <v>31</v>
      </c>
    </row>
    <row r="23" spans="1:14">
      <c r="A23" s="346" t="s">
        <v>804</v>
      </c>
      <c r="B23" s="188">
        <v>5.0000000000000001E-4</v>
      </c>
      <c r="D23" s="188" t="s">
        <v>37</v>
      </c>
      <c r="E23" s="188" t="s">
        <v>40</v>
      </c>
      <c r="F23" s="188" t="s">
        <v>29</v>
      </c>
      <c r="G23" s="37" t="s">
        <v>35</v>
      </c>
      <c r="H23" s="188" t="s">
        <v>33</v>
      </c>
      <c r="I23" s="188">
        <v>2</v>
      </c>
      <c r="J23" s="188">
        <f t="shared" si="0"/>
        <v>-7.6009024595420822</v>
      </c>
      <c r="K23" s="188">
        <v>3.7749171999999998E-2</v>
      </c>
      <c r="L23" s="188" t="s">
        <v>31</v>
      </c>
      <c r="M23" s="188" t="s">
        <v>31</v>
      </c>
      <c r="N23" s="188" t="s">
        <v>31</v>
      </c>
    </row>
    <row r="24" spans="1:14">
      <c r="A24" s="346" t="s">
        <v>322</v>
      </c>
      <c r="B24" s="188">
        <v>8.9999999999999992E-5</v>
      </c>
      <c r="D24" s="188" t="s">
        <v>37</v>
      </c>
      <c r="E24" s="188" t="s">
        <v>43</v>
      </c>
      <c r="F24" s="188" t="s">
        <v>44</v>
      </c>
      <c r="G24" s="37" t="s">
        <v>29</v>
      </c>
      <c r="H24" s="188" t="s">
        <v>45</v>
      </c>
      <c r="I24" s="188">
        <v>2</v>
      </c>
      <c r="J24" s="188">
        <f t="shared" si="0"/>
        <v>-9.3157008876340086</v>
      </c>
      <c r="K24" s="188">
        <v>3.7749171999999998E-2</v>
      </c>
      <c r="L24" s="188" t="s">
        <v>31</v>
      </c>
      <c r="M24" s="188" t="s">
        <v>31</v>
      </c>
      <c r="N24" s="188" t="s">
        <v>31</v>
      </c>
    </row>
    <row r="25" spans="1:14">
      <c r="A25" s="346" t="s">
        <v>758</v>
      </c>
      <c r="B25" s="188">
        <v>3.3999999999999998E-3</v>
      </c>
      <c r="D25" s="188" t="s">
        <v>37</v>
      </c>
      <c r="E25" s="188" t="s">
        <v>43</v>
      </c>
      <c r="F25" s="188" t="s">
        <v>44</v>
      </c>
      <c r="G25" s="37" t="s">
        <v>29</v>
      </c>
      <c r="H25" s="188" t="s">
        <v>45</v>
      </c>
      <c r="I25" s="188">
        <v>2</v>
      </c>
      <c r="J25" s="188">
        <f t="shared" si="0"/>
        <v>-5.6839798473600212</v>
      </c>
      <c r="K25" s="188">
        <v>3.7749171999999998E-2</v>
      </c>
      <c r="L25" s="188" t="s">
        <v>31</v>
      </c>
      <c r="M25" s="188" t="s">
        <v>31</v>
      </c>
      <c r="N25" s="188" t="s">
        <v>31</v>
      </c>
    </row>
    <row r="26" spans="1:14">
      <c r="A26" s="188" t="s">
        <v>784</v>
      </c>
      <c r="B26" s="188">
        <v>1.4E-3</v>
      </c>
      <c r="D26" s="188" t="s">
        <v>37</v>
      </c>
      <c r="E26" s="188" t="s">
        <v>2</v>
      </c>
      <c r="F26" s="188" t="s">
        <v>29</v>
      </c>
      <c r="G26" s="37" t="s">
        <v>74</v>
      </c>
      <c r="H26" s="188" t="s">
        <v>33</v>
      </c>
      <c r="I26" s="188">
        <v>2</v>
      </c>
      <c r="J26" s="188">
        <f t="shared" si="0"/>
        <v>-6.5712830423609239</v>
      </c>
      <c r="K26" s="188">
        <v>3.7749171999999998E-2</v>
      </c>
      <c r="L26" s="188" t="s">
        <v>31</v>
      </c>
      <c r="M26" s="188" t="s">
        <v>31</v>
      </c>
      <c r="N26" s="188" t="s">
        <v>31</v>
      </c>
    </row>
    <row r="27" spans="1:14">
      <c r="A27" s="188" t="s">
        <v>790</v>
      </c>
      <c r="B27" s="188">
        <v>6.0000000000000002E-5</v>
      </c>
      <c r="D27" s="188" t="s">
        <v>37</v>
      </c>
      <c r="E27" s="188" t="s">
        <v>2</v>
      </c>
      <c r="F27" s="188" t="s">
        <v>29</v>
      </c>
      <c r="G27" s="188" t="s">
        <v>74</v>
      </c>
      <c r="H27" s="188" t="s">
        <v>33</v>
      </c>
      <c r="I27" s="188">
        <v>2</v>
      </c>
      <c r="J27" s="188">
        <f t="shared" si="0"/>
        <v>-9.7211659957421741</v>
      </c>
      <c r="K27" s="188">
        <v>3.7749171999999998E-2</v>
      </c>
      <c r="L27" s="188" t="s">
        <v>31</v>
      </c>
      <c r="M27" s="188" t="s">
        <v>31</v>
      </c>
      <c r="N27" s="188" t="s">
        <v>31</v>
      </c>
    </row>
    <row r="28" spans="1:14">
      <c r="A28" s="370" t="s">
        <v>5</v>
      </c>
      <c r="B28" s="371" t="s">
        <v>797</v>
      </c>
      <c r="C28" s="371"/>
      <c r="D28" s="372"/>
      <c r="E28" s="353"/>
      <c r="F28" s="353"/>
      <c r="G28" s="353"/>
      <c r="H28" s="353"/>
      <c r="I28" s="353"/>
      <c r="J28" s="353"/>
      <c r="K28" s="353"/>
      <c r="L28" s="353"/>
      <c r="M28" s="353"/>
      <c r="N28" s="353"/>
    </row>
    <row r="29" spans="1:14">
      <c r="A29" s="346" t="s">
        <v>7</v>
      </c>
      <c r="B29" s="188" t="s">
        <v>786</v>
      </c>
      <c r="D29" s="345"/>
    </row>
    <row r="30" spans="1:14">
      <c r="A30" s="346" t="s">
        <v>9</v>
      </c>
      <c r="B30" s="188" t="s">
        <v>805</v>
      </c>
      <c r="D30" s="345"/>
    </row>
    <row r="31" spans="1:14" ht="15.75" customHeight="1">
      <c r="A31" s="346" t="s">
        <v>11</v>
      </c>
      <c r="B31" s="347" t="s">
        <v>796</v>
      </c>
      <c r="C31" s="347"/>
    </row>
    <row r="32" spans="1:14">
      <c r="A32" s="346" t="s">
        <v>13</v>
      </c>
      <c r="B32" s="188" t="s">
        <v>14</v>
      </c>
    </row>
    <row r="33" spans="1:20">
      <c r="A33" s="346" t="s">
        <v>15</v>
      </c>
      <c r="B33" s="188">
        <v>1</v>
      </c>
    </row>
    <row r="34" spans="1:20">
      <c r="A34" s="346" t="s">
        <v>16</v>
      </c>
      <c r="B34" s="188" t="s">
        <v>17</v>
      </c>
    </row>
    <row r="35" spans="1:20">
      <c r="A35" s="346" t="s">
        <v>18</v>
      </c>
      <c r="B35" s="188" t="s">
        <v>18</v>
      </c>
    </row>
    <row r="36" spans="1:20">
      <c r="A36" s="343" t="s">
        <v>19</v>
      </c>
    </row>
    <row r="37" spans="1:20">
      <c r="A37" s="343" t="s">
        <v>20</v>
      </c>
      <c r="B37" s="344" t="s">
        <v>21</v>
      </c>
      <c r="C37" s="382" t="s">
        <v>217</v>
      </c>
      <c r="D37" s="344" t="s">
        <v>18</v>
      </c>
      <c r="E37" s="344" t="s">
        <v>22</v>
      </c>
      <c r="F37" s="344" t="s">
        <v>7</v>
      </c>
      <c r="G37" s="344" t="s">
        <v>13</v>
      </c>
      <c r="H37" s="344" t="s">
        <v>16</v>
      </c>
      <c r="I37" s="344" t="s">
        <v>23</v>
      </c>
      <c r="J37" s="344" t="s">
        <v>24</v>
      </c>
      <c r="K37" s="344" t="s">
        <v>25</v>
      </c>
      <c r="L37" s="344" t="s">
        <v>26</v>
      </c>
      <c r="M37" s="344" t="s">
        <v>27</v>
      </c>
      <c r="N37" s="344" t="s">
        <v>28</v>
      </c>
      <c r="O37" s="344" t="s">
        <v>11</v>
      </c>
    </row>
    <row r="38" spans="1:20">
      <c r="A38" s="346" t="s">
        <v>797</v>
      </c>
      <c r="B38" s="188">
        <v>1</v>
      </c>
      <c r="D38" s="188" t="s">
        <v>18</v>
      </c>
      <c r="E38" s="188" t="s">
        <v>2</v>
      </c>
      <c r="F38" s="188" t="s">
        <v>29</v>
      </c>
      <c r="G38" s="37" t="s">
        <v>14</v>
      </c>
      <c r="H38" s="188" t="s">
        <v>30</v>
      </c>
      <c r="I38" s="188">
        <v>1</v>
      </c>
      <c r="J38" s="188">
        <f>B38</f>
        <v>1</v>
      </c>
      <c r="K38" s="188" t="s">
        <v>31</v>
      </c>
      <c r="L38" s="188" t="s">
        <v>31</v>
      </c>
      <c r="M38" s="188" t="s">
        <v>31</v>
      </c>
      <c r="N38" s="188" t="s">
        <v>31</v>
      </c>
    </row>
    <row r="39" spans="1:20">
      <c r="A39" s="346" t="s">
        <v>806</v>
      </c>
      <c r="B39" s="188">
        <f>T39</f>
        <v>1.4999999999999999E-2</v>
      </c>
      <c r="D39" s="188" t="s">
        <v>609</v>
      </c>
      <c r="E39" s="188" t="s">
        <v>40</v>
      </c>
      <c r="F39" s="188" t="s">
        <v>29</v>
      </c>
      <c r="G39" s="37" t="s">
        <v>59</v>
      </c>
      <c r="H39" s="188" t="s">
        <v>33</v>
      </c>
      <c r="I39" s="188">
        <v>2</v>
      </c>
      <c r="J39" s="188">
        <f>LN(B39)</f>
        <v>-4.1997050778799272</v>
      </c>
      <c r="K39" s="188">
        <v>2.8722813232690055E-2</v>
      </c>
      <c r="L39" s="188" t="s">
        <v>31</v>
      </c>
      <c r="M39" s="188" t="s">
        <v>31</v>
      </c>
      <c r="N39" s="188" t="s">
        <v>31</v>
      </c>
      <c r="Q39" s="383" t="s">
        <v>807</v>
      </c>
      <c r="R39" s="384">
        <v>1.5</v>
      </c>
      <c r="S39" s="188" t="s">
        <v>610</v>
      </c>
      <c r="T39" s="188">
        <f>R39*0.01</f>
        <v>1.4999999999999999E-2</v>
      </c>
    </row>
    <row r="40" spans="1:20">
      <c r="A40" s="346" t="s">
        <v>808</v>
      </c>
      <c r="B40" s="188">
        <f>T40</f>
        <v>2.8E-3</v>
      </c>
      <c r="D40" s="188" t="s">
        <v>37</v>
      </c>
      <c r="E40" s="188" t="s">
        <v>40</v>
      </c>
      <c r="F40" s="188" t="s">
        <v>29</v>
      </c>
      <c r="G40" s="37" t="s">
        <v>59</v>
      </c>
      <c r="H40" s="188" t="s">
        <v>33</v>
      </c>
      <c r="I40" s="188">
        <v>2</v>
      </c>
      <c r="J40" s="188">
        <f t="shared" ref="J40:J50" si="1">LN(B40)</f>
        <v>-5.8781358618009785</v>
      </c>
      <c r="K40" s="188">
        <v>2.8722813232690055E-2</v>
      </c>
      <c r="L40" s="188" t="s">
        <v>31</v>
      </c>
      <c r="M40" s="188" t="s">
        <v>31</v>
      </c>
      <c r="N40" s="188" t="s">
        <v>31</v>
      </c>
      <c r="Q40" s="385" t="s">
        <v>580</v>
      </c>
      <c r="R40" s="386">
        <v>2.8</v>
      </c>
      <c r="S40" s="188" t="s">
        <v>241</v>
      </c>
      <c r="T40" s="188">
        <f>R40*0.001</f>
        <v>2.8E-3</v>
      </c>
    </row>
    <row r="41" spans="1:20">
      <c r="A41" s="346" t="s">
        <v>809</v>
      </c>
      <c r="B41" s="188">
        <f t="shared" ref="B41:B50" si="2">T41</f>
        <v>2.2000000000000001E-3</v>
      </c>
      <c r="D41" s="188" t="s">
        <v>37</v>
      </c>
      <c r="E41" s="188" t="s">
        <v>40</v>
      </c>
      <c r="F41" s="188" t="s">
        <v>29</v>
      </c>
      <c r="G41" s="37" t="s">
        <v>59</v>
      </c>
      <c r="H41" s="188" t="s">
        <v>33</v>
      </c>
      <c r="I41" s="188">
        <v>2</v>
      </c>
      <c r="J41" s="188">
        <f t="shared" si="1"/>
        <v>-6.1192979186178666</v>
      </c>
      <c r="K41" s="188">
        <v>2.8722813232690055E-2</v>
      </c>
      <c r="L41" s="188" t="s">
        <v>31</v>
      </c>
      <c r="M41" s="188" t="s">
        <v>31</v>
      </c>
      <c r="N41" s="188" t="s">
        <v>31</v>
      </c>
      <c r="Q41" s="383" t="s">
        <v>580</v>
      </c>
      <c r="R41" s="384">
        <v>2.2000000000000002</v>
      </c>
      <c r="S41" s="188" t="s">
        <v>241</v>
      </c>
      <c r="T41" s="188">
        <f t="shared" ref="T41:T50" si="3">R41*0.001</f>
        <v>2.2000000000000001E-3</v>
      </c>
    </row>
    <row r="42" spans="1:20">
      <c r="A42" s="346" t="s">
        <v>810</v>
      </c>
      <c r="B42" s="188">
        <f t="shared" si="2"/>
        <v>2.2000000000000001E-3</v>
      </c>
      <c r="D42" s="188" t="s">
        <v>37</v>
      </c>
      <c r="E42" s="188" t="s">
        <v>40</v>
      </c>
      <c r="F42" s="188" t="s">
        <v>29</v>
      </c>
      <c r="G42" s="37" t="s">
        <v>59</v>
      </c>
      <c r="H42" s="188" t="s">
        <v>33</v>
      </c>
      <c r="I42" s="188">
        <v>2</v>
      </c>
      <c r="J42" s="188">
        <f t="shared" si="1"/>
        <v>-6.1192979186178666</v>
      </c>
      <c r="K42" s="188">
        <v>2.8722813232690055E-2</v>
      </c>
      <c r="L42" s="188" t="s">
        <v>31</v>
      </c>
      <c r="M42" s="188" t="s">
        <v>31</v>
      </c>
      <c r="N42" s="188" t="s">
        <v>31</v>
      </c>
      <c r="Q42" s="385" t="s">
        <v>580</v>
      </c>
      <c r="R42" s="386">
        <v>2.2000000000000002</v>
      </c>
      <c r="S42" s="188" t="s">
        <v>241</v>
      </c>
      <c r="T42" s="188">
        <f t="shared" si="3"/>
        <v>2.2000000000000001E-3</v>
      </c>
    </row>
    <row r="43" spans="1:20">
      <c r="A43" s="346" t="s">
        <v>811</v>
      </c>
      <c r="B43" s="188">
        <f t="shared" si="2"/>
        <v>1.8000000000000002E-2</v>
      </c>
      <c r="D43" s="188" t="s">
        <v>37</v>
      </c>
      <c r="E43" s="188" t="s">
        <v>40</v>
      </c>
      <c r="F43" s="188" t="s">
        <v>29</v>
      </c>
      <c r="G43" s="37" t="s">
        <v>59</v>
      </c>
      <c r="H43" s="188" t="s">
        <v>33</v>
      </c>
      <c r="I43" s="188">
        <v>2</v>
      </c>
      <c r="J43" s="188">
        <f t="shared" si="1"/>
        <v>-4.0173835210859723</v>
      </c>
      <c r="K43" s="188">
        <v>2.8722813232690055E-2</v>
      </c>
      <c r="L43" s="188" t="s">
        <v>31</v>
      </c>
      <c r="M43" s="188" t="s">
        <v>31</v>
      </c>
      <c r="N43" s="188" t="s">
        <v>31</v>
      </c>
      <c r="Q43" s="383" t="s">
        <v>580</v>
      </c>
      <c r="R43" s="387">
        <v>18</v>
      </c>
      <c r="S43" s="188" t="s">
        <v>241</v>
      </c>
      <c r="T43" s="188">
        <f t="shared" si="3"/>
        <v>1.8000000000000002E-2</v>
      </c>
    </row>
    <row r="44" spans="1:20">
      <c r="A44" s="346" t="s">
        <v>812</v>
      </c>
      <c r="B44" s="188">
        <f t="shared" si="2"/>
        <v>9.0000000000000002E-6</v>
      </c>
      <c r="D44" s="188" t="s">
        <v>37</v>
      </c>
      <c r="E44" s="188" t="s">
        <v>40</v>
      </c>
      <c r="F44" s="188" t="s">
        <v>29</v>
      </c>
      <c r="G44" s="37" t="s">
        <v>59</v>
      </c>
      <c r="H44" s="188" t="s">
        <v>33</v>
      </c>
      <c r="I44" s="188">
        <v>2</v>
      </c>
      <c r="J44" s="188">
        <f t="shared" si="1"/>
        <v>-11.618285980628055</v>
      </c>
      <c r="K44" s="188">
        <v>2.8722813232690055E-2</v>
      </c>
      <c r="L44" s="188" t="s">
        <v>31</v>
      </c>
      <c r="M44" s="188" t="s">
        <v>31</v>
      </c>
      <c r="N44" s="188" t="s">
        <v>31</v>
      </c>
      <c r="Q44" s="385" t="s">
        <v>538</v>
      </c>
      <c r="R44" s="386">
        <v>9</v>
      </c>
      <c r="S44" s="188" t="s">
        <v>241</v>
      </c>
      <c r="T44" s="188">
        <f>R44*0.000001</f>
        <v>9.0000000000000002E-6</v>
      </c>
    </row>
    <row r="45" spans="1:20">
      <c r="A45" s="346" t="s">
        <v>813</v>
      </c>
      <c r="B45" s="188">
        <f t="shared" si="2"/>
        <v>3.8E-3</v>
      </c>
      <c r="D45" s="188" t="s">
        <v>37</v>
      </c>
      <c r="E45" s="188" t="s">
        <v>40</v>
      </c>
      <c r="F45" s="188" t="s">
        <v>29</v>
      </c>
      <c r="G45" s="37" t="s">
        <v>59</v>
      </c>
      <c r="H45" s="188" t="s">
        <v>33</v>
      </c>
      <c r="I45" s="188">
        <v>2</v>
      </c>
      <c r="J45" s="188">
        <f t="shared" si="1"/>
        <v>-5.5727542122497971</v>
      </c>
      <c r="K45" s="188">
        <v>2.8722813232690055E-2</v>
      </c>
      <c r="L45" s="188" t="s">
        <v>31</v>
      </c>
      <c r="M45" s="188" t="s">
        <v>31</v>
      </c>
      <c r="N45" s="188" t="s">
        <v>31</v>
      </c>
      <c r="Q45" s="383" t="s">
        <v>580</v>
      </c>
      <c r="R45" s="384">
        <v>3.8</v>
      </c>
      <c r="S45" s="188" t="s">
        <v>241</v>
      </c>
      <c r="T45" s="188">
        <f t="shared" si="3"/>
        <v>3.8E-3</v>
      </c>
    </row>
    <row r="46" spans="1:20">
      <c r="A46" s="346" t="s">
        <v>814</v>
      </c>
      <c r="B46" s="188">
        <f t="shared" si="2"/>
        <v>3.7000000000000002E-3</v>
      </c>
      <c r="D46" s="188" t="s">
        <v>37</v>
      </c>
      <c r="E46" s="188" t="s">
        <v>40</v>
      </c>
      <c r="F46" s="188" t="s">
        <v>29</v>
      </c>
      <c r="G46" s="37" t="s">
        <v>59</v>
      </c>
      <c r="H46" s="188" t="s">
        <v>33</v>
      </c>
      <c r="I46" s="188">
        <v>2</v>
      </c>
      <c r="J46" s="188">
        <f t="shared" si="1"/>
        <v>-5.5994224593319579</v>
      </c>
      <c r="K46" s="188">
        <v>2.8722813232690055E-2</v>
      </c>
      <c r="L46" s="188" t="s">
        <v>31</v>
      </c>
      <c r="M46" s="188" t="s">
        <v>31</v>
      </c>
      <c r="N46" s="188" t="s">
        <v>31</v>
      </c>
      <c r="Q46" s="385" t="s">
        <v>580</v>
      </c>
      <c r="R46" s="386">
        <v>3.7</v>
      </c>
      <c r="S46" s="188" t="s">
        <v>241</v>
      </c>
      <c r="T46" s="188">
        <f t="shared" si="3"/>
        <v>3.7000000000000002E-3</v>
      </c>
    </row>
    <row r="47" spans="1:20">
      <c r="A47" s="346" t="s">
        <v>815</v>
      </c>
      <c r="B47" s="188">
        <f t="shared" si="2"/>
        <v>3.4999999999999997E-5</v>
      </c>
      <c r="D47" s="188" t="s">
        <v>37</v>
      </c>
      <c r="E47" s="188" t="s">
        <v>40</v>
      </c>
      <c r="F47" s="188" t="s">
        <v>29</v>
      </c>
      <c r="G47" s="37" t="s">
        <v>59</v>
      </c>
      <c r="H47" s="188" t="s">
        <v>33</v>
      </c>
      <c r="I47" s="188">
        <v>2</v>
      </c>
      <c r="J47" s="188">
        <f t="shared" si="1"/>
        <v>-10.260162496474861</v>
      </c>
      <c r="K47" s="188">
        <v>2.8722813232690055E-2</v>
      </c>
      <c r="L47" s="188" t="s">
        <v>31</v>
      </c>
      <c r="M47" s="188" t="s">
        <v>31</v>
      </c>
      <c r="N47" s="188" t="s">
        <v>31</v>
      </c>
      <c r="Q47" s="383" t="s">
        <v>538</v>
      </c>
      <c r="R47" s="388">
        <v>35</v>
      </c>
      <c r="S47" s="188" t="s">
        <v>241</v>
      </c>
      <c r="T47" s="188">
        <f>R47*0.000001</f>
        <v>3.4999999999999997E-5</v>
      </c>
    </row>
    <row r="48" spans="1:20">
      <c r="A48" s="346" t="s">
        <v>816</v>
      </c>
      <c r="B48" s="188">
        <f t="shared" si="2"/>
        <v>1E-3</v>
      </c>
      <c r="D48" s="188" t="s">
        <v>37</v>
      </c>
      <c r="E48" s="188" t="s">
        <v>40</v>
      </c>
      <c r="F48" s="188" t="s">
        <v>29</v>
      </c>
      <c r="G48" s="37" t="s">
        <v>59</v>
      </c>
      <c r="H48" s="188" t="s">
        <v>33</v>
      </c>
      <c r="I48" s="188">
        <v>2</v>
      </c>
      <c r="J48" s="188">
        <f t="shared" si="1"/>
        <v>-6.9077552789821368</v>
      </c>
      <c r="K48" s="188">
        <v>2.8722813232690055E-2</v>
      </c>
      <c r="L48" s="188" t="s">
        <v>31</v>
      </c>
      <c r="M48" s="188" t="s">
        <v>31</v>
      </c>
      <c r="N48" s="188" t="s">
        <v>31</v>
      </c>
      <c r="Q48" s="385" t="s">
        <v>580</v>
      </c>
      <c r="R48" s="386">
        <v>1</v>
      </c>
      <c r="S48" s="188" t="s">
        <v>241</v>
      </c>
      <c r="T48" s="188">
        <f t="shared" si="3"/>
        <v>1E-3</v>
      </c>
    </row>
    <row r="49" spans="1:20">
      <c r="A49" s="346" t="s">
        <v>817</v>
      </c>
      <c r="B49" s="188">
        <f t="shared" si="2"/>
        <v>0.03</v>
      </c>
      <c r="D49" s="188" t="s">
        <v>37</v>
      </c>
      <c r="E49" s="188" t="s">
        <v>40</v>
      </c>
      <c r="F49" s="188" t="s">
        <v>29</v>
      </c>
      <c r="G49" s="37" t="s">
        <v>59</v>
      </c>
      <c r="H49" s="188" t="s">
        <v>33</v>
      </c>
      <c r="I49" s="188">
        <v>2</v>
      </c>
      <c r="J49" s="188">
        <f t="shared" si="1"/>
        <v>-3.5065578973199818</v>
      </c>
      <c r="K49" s="188">
        <v>2.8722813232690055E-2</v>
      </c>
      <c r="L49" s="188" t="s">
        <v>31</v>
      </c>
      <c r="M49" s="188" t="s">
        <v>31</v>
      </c>
      <c r="N49" s="188" t="s">
        <v>31</v>
      </c>
      <c r="Q49" s="383" t="s">
        <v>580</v>
      </c>
      <c r="R49" s="388">
        <v>30</v>
      </c>
      <c r="S49" s="188" t="s">
        <v>241</v>
      </c>
      <c r="T49" s="188">
        <f t="shared" si="3"/>
        <v>0.03</v>
      </c>
    </row>
    <row r="50" spans="1:20">
      <c r="A50" s="346" t="s">
        <v>818</v>
      </c>
      <c r="B50" s="188">
        <f t="shared" si="2"/>
        <v>1.3000000000000002E-3</v>
      </c>
      <c r="D50" s="188" t="s">
        <v>37</v>
      </c>
      <c r="E50" s="188" t="s">
        <v>40</v>
      </c>
      <c r="F50" s="188" t="s">
        <v>29</v>
      </c>
      <c r="G50" s="37" t="s">
        <v>59</v>
      </c>
      <c r="H50" s="188" t="s">
        <v>33</v>
      </c>
      <c r="I50" s="188">
        <v>2</v>
      </c>
      <c r="J50" s="188">
        <f t="shared" si="1"/>
        <v>-6.6453910145146455</v>
      </c>
      <c r="K50" s="188">
        <v>2.8722813232690055E-2</v>
      </c>
      <c r="L50" s="188" t="s">
        <v>31</v>
      </c>
      <c r="M50" s="188" t="s">
        <v>31</v>
      </c>
      <c r="N50" s="188" t="s">
        <v>31</v>
      </c>
      <c r="Q50" s="385" t="s">
        <v>580</v>
      </c>
      <c r="R50" s="386">
        <v>1.3</v>
      </c>
      <c r="S50" s="188" t="s">
        <v>241</v>
      </c>
      <c r="T50" s="188">
        <f t="shared" si="3"/>
        <v>1.3000000000000002E-3</v>
      </c>
    </row>
    <row r="51" spans="1:20">
      <c r="A51" s="346"/>
      <c r="G51" s="37"/>
    </row>
    <row r="52" spans="1:20">
      <c r="G52" s="3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0492A-4907-4832-A584-C0FE74E24CB7}">
  <sheetPr>
    <tabColor theme="0"/>
  </sheetPr>
  <dimension ref="A1:T75"/>
  <sheetViews>
    <sheetView topLeftCell="A36" workbookViewId="0">
      <selection activeCell="A12" sqref="A12"/>
    </sheetView>
  </sheetViews>
  <sheetFormatPr defaultColWidth="9.140625" defaultRowHeight="12.95"/>
  <cols>
    <col min="1" max="1" width="70" style="188" customWidth="1"/>
    <col min="2" max="3" width="9.140625" style="188"/>
    <col min="4" max="4" width="13.5703125" style="188" customWidth="1"/>
    <col min="5" max="5" width="34.5703125" style="188" customWidth="1"/>
    <col min="6" max="6" width="12.7109375" style="188" customWidth="1"/>
    <col min="7" max="7" width="9.140625" style="188"/>
    <col min="8" max="8" width="14.7109375" style="188" customWidth="1"/>
    <col min="9" max="16384" width="9.140625" style="188"/>
  </cols>
  <sheetData>
    <row r="1" spans="1:20">
      <c r="A1" s="188" t="s">
        <v>0</v>
      </c>
      <c r="B1" s="188">
        <v>14</v>
      </c>
    </row>
    <row r="2" spans="1:20">
      <c r="A2" s="370" t="s">
        <v>5</v>
      </c>
      <c r="B2" s="371" t="s">
        <v>819</v>
      </c>
      <c r="C2" s="371"/>
      <c r="D2" s="372"/>
      <c r="E2" s="353"/>
      <c r="F2" s="353"/>
      <c r="G2" s="353"/>
      <c r="H2" s="353"/>
      <c r="I2" s="353"/>
      <c r="J2" s="353"/>
      <c r="K2" s="353"/>
      <c r="L2" s="353"/>
      <c r="M2" s="353"/>
      <c r="N2" s="353"/>
      <c r="P2" s="188" t="s">
        <v>785</v>
      </c>
    </row>
    <row r="3" spans="1:20">
      <c r="A3" s="346" t="s">
        <v>7</v>
      </c>
      <c r="B3" s="188" t="s">
        <v>786</v>
      </c>
      <c r="D3" s="345"/>
    </row>
    <row r="4" spans="1:20">
      <c r="A4" s="346" t="s">
        <v>9</v>
      </c>
      <c r="B4" s="381" t="s">
        <v>820</v>
      </c>
      <c r="C4" s="381"/>
      <c r="D4" s="345"/>
    </row>
    <row r="5" spans="1:20" ht="16.5" customHeight="1">
      <c r="A5" s="346" t="s">
        <v>11</v>
      </c>
      <c r="B5" s="347" t="s">
        <v>796</v>
      </c>
      <c r="C5" s="347"/>
    </row>
    <row r="6" spans="1:20">
      <c r="A6" s="346" t="s">
        <v>13</v>
      </c>
      <c r="B6" s="188" t="s">
        <v>14</v>
      </c>
    </row>
    <row r="7" spans="1:20">
      <c r="A7" s="346" t="s">
        <v>15</v>
      </c>
      <c r="B7" s="188">
        <v>9.8095000000000002E-2</v>
      </c>
    </row>
    <row r="8" spans="1:20">
      <c r="A8" s="346" t="s">
        <v>16</v>
      </c>
      <c r="B8" s="188" t="s">
        <v>17</v>
      </c>
    </row>
    <row r="9" spans="1:20">
      <c r="A9" s="346" t="s">
        <v>18</v>
      </c>
      <c r="B9" s="188" t="s">
        <v>37</v>
      </c>
    </row>
    <row r="10" spans="1:20">
      <c r="A10" s="343" t="s">
        <v>19</v>
      </c>
    </row>
    <row r="11" spans="1:20">
      <c r="A11" s="343" t="s">
        <v>20</v>
      </c>
      <c r="B11" s="344" t="s">
        <v>21</v>
      </c>
      <c r="C11" s="382" t="s">
        <v>217</v>
      </c>
      <c r="D11" s="344" t="s">
        <v>18</v>
      </c>
      <c r="E11" s="344" t="s">
        <v>22</v>
      </c>
      <c r="F11" s="344" t="s">
        <v>7</v>
      </c>
      <c r="G11" s="344" t="s">
        <v>13</v>
      </c>
      <c r="H11" s="344" t="s">
        <v>16</v>
      </c>
      <c r="I11" s="344" t="s">
        <v>23</v>
      </c>
      <c r="J11" s="344" t="s">
        <v>24</v>
      </c>
      <c r="K11" s="344" t="s">
        <v>25</v>
      </c>
      <c r="L11" s="344" t="s">
        <v>26</v>
      </c>
      <c r="M11" s="344" t="s">
        <v>27</v>
      </c>
      <c r="N11" s="344" t="s">
        <v>28</v>
      </c>
      <c r="O11" s="344" t="s">
        <v>11</v>
      </c>
    </row>
    <row r="12" spans="1:20">
      <c r="A12" s="346" t="s">
        <v>819</v>
      </c>
      <c r="B12" s="188">
        <v>9.8095000000000002E-2</v>
      </c>
      <c r="D12" s="188" t="s">
        <v>37</v>
      </c>
      <c r="E12" s="188" t="s">
        <v>2</v>
      </c>
      <c r="F12" s="188" t="s">
        <v>29</v>
      </c>
      <c r="G12" s="37" t="s">
        <v>14</v>
      </c>
      <c r="H12" s="188" t="s">
        <v>30</v>
      </c>
      <c r="I12" s="188">
        <v>1</v>
      </c>
      <c r="J12" s="188">
        <f>B12</f>
        <v>9.8095000000000002E-2</v>
      </c>
      <c r="K12" s="188" t="s">
        <v>31</v>
      </c>
      <c r="L12" s="188" t="s">
        <v>31</v>
      </c>
      <c r="M12" s="188" t="s">
        <v>31</v>
      </c>
      <c r="N12" s="188" t="s">
        <v>31</v>
      </c>
      <c r="Q12" s="389" t="s">
        <v>821</v>
      </c>
    </row>
    <row r="13" spans="1:20">
      <c r="A13" s="346" t="s">
        <v>822</v>
      </c>
      <c r="B13" s="188">
        <f>S13</f>
        <v>6.9999999999999999E-4</v>
      </c>
      <c r="D13" s="188" t="s">
        <v>609</v>
      </c>
      <c r="E13" s="188" t="s">
        <v>2</v>
      </c>
      <c r="F13" s="188" t="s">
        <v>29</v>
      </c>
      <c r="G13" s="37" t="s">
        <v>14</v>
      </c>
      <c r="H13" s="188" t="s">
        <v>33</v>
      </c>
      <c r="I13" s="188">
        <v>2</v>
      </c>
      <c r="J13" s="188">
        <f>LN(B13)</f>
        <v>-7.2644302229208693</v>
      </c>
      <c r="K13" s="188">
        <v>2.8722813232690055E-2</v>
      </c>
      <c r="L13" s="188" t="s">
        <v>31</v>
      </c>
      <c r="M13" s="188" t="s">
        <v>31</v>
      </c>
      <c r="N13" s="188" t="s">
        <v>31</v>
      </c>
      <c r="Q13" s="390" t="s">
        <v>823</v>
      </c>
      <c r="R13" s="391">
        <v>6.9999999999999999E-4</v>
      </c>
      <c r="S13" s="392">
        <f>R13</f>
        <v>6.9999999999999999E-4</v>
      </c>
      <c r="T13" s="188" t="s">
        <v>610</v>
      </c>
    </row>
    <row r="14" spans="1:20">
      <c r="A14" s="88" t="s">
        <v>824</v>
      </c>
      <c r="B14" s="188">
        <f t="shared" ref="B14:B19" si="0">S14</f>
        <v>4.9000000000000002E-2</v>
      </c>
      <c r="D14" s="188" t="s">
        <v>37</v>
      </c>
      <c r="E14" s="188" t="s">
        <v>40</v>
      </c>
      <c r="F14" s="188" t="s">
        <v>29</v>
      </c>
      <c r="G14" s="37" t="s">
        <v>59</v>
      </c>
      <c r="H14" s="188" t="s">
        <v>33</v>
      </c>
      <c r="I14" s="188">
        <v>2</v>
      </c>
      <c r="J14" s="188">
        <f>LN(B14)</f>
        <v>-3.0159349808715104</v>
      </c>
      <c r="K14" s="188">
        <v>5.8523499553598146E-2</v>
      </c>
      <c r="L14" s="188" t="s">
        <v>31</v>
      </c>
      <c r="M14" s="188" t="s">
        <v>31</v>
      </c>
      <c r="N14" s="188" t="s">
        <v>31</v>
      </c>
      <c r="Q14" s="383" t="s">
        <v>580</v>
      </c>
      <c r="R14" s="388">
        <v>49</v>
      </c>
      <c r="S14" s="188">
        <f>R14*0.001</f>
        <v>4.9000000000000002E-2</v>
      </c>
      <c r="T14" s="188" t="s">
        <v>241</v>
      </c>
    </row>
    <row r="15" spans="1:20">
      <c r="A15" s="88" t="s">
        <v>800</v>
      </c>
      <c r="B15" s="188">
        <f t="shared" si="0"/>
        <v>3.1E-4</v>
      </c>
      <c r="D15" s="188" t="s">
        <v>37</v>
      </c>
      <c r="E15" s="188" t="s">
        <v>40</v>
      </c>
      <c r="F15" s="188" t="s">
        <v>29</v>
      </c>
      <c r="G15" s="37" t="s">
        <v>59</v>
      </c>
      <c r="H15" s="188" t="s">
        <v>33</v>
      </c>
      <c r="I15" s="188">
        <v>2</v>
      </c>
      <c r="J15" s="188">
        <f t="shared" ref="J15:J19" si="1">LN(B15)</f>
        <v>-8.0789382604850815</v>
      </c>
      <c r="K15" s="188">
        <v>5.8523499553598146E-2</v>
      </c>
      <c r="L15" s="188" t="s">
        <v>31</v>
      </c>
      <c r="M15" s="188" t="s">
        <v>31</v>
      </c>
      <c r="N15" s="188" t="s">
        <v>31</v>
      </c>
      <c r="Q15" s="383" t="s">
        <v>580</v>
      </c>
      <c r="R15" s="393">
        <v>0.31</v>
      </c>
      <c r="S15" s="188">
        <f>R15*0.001</f>
        <v>3.1E-4</v>
      </c>
      <c r="T15" s="188" t="s">
        <v>241</v>
      </c>
    </row>
    <row r="16" spans="1:20">
      <c r="A16" s="346" t="s">
        <v>269</v>
      </c>
      <c r="B16" s="188">
        <f t="shared" si="0"/>
        <v>0.05</v>
      </c>
      <c r="D16" s="188" t="s">
        <v>39</v>
      </c>
      <c r="E16" s="188" t="s">
        <v>40</v>
      </c>
      <c r="F16" s="188" t="s">
        <v>29</v>
      </c>
      <c r="G16" s="37" t="s">
        <v>35</v>
      </c>
      <c r="H16" s="188" t="s">
        <v>33</v>
      </c>
      <c r="I16" s="188">
        <v>2</v>
      </c>
      <c r="J16" s="188">
        <f t="shared" si="1"/>
        <v>-2.9957322735539909</v>
      </c>
      <c r="K16" s="188">
        <v>3.7749172176353707E-2</v>
      </c>
      <c r="L16" s="188" t="s">
        <v>31</v>
      </c>
      <c r="M16" s="188" t="s">
        <v>31</v>
      </c>
      <c r="N16" s="188" t="s">
        <v>31</v>
      </c>
      <c r="Q16" s="383" t="s">
        <v>248</v>
      </c>
      <c r="R16" s="393">
        <v>0.05</v>
      </c>
      <c r="S16" s="358">
        <f>R16</f>
        <v>0.05</v>
      </c>
      <c r="T16" s="188" t="s">
        <v>248</v>
      </c>
    </row>
    <row r="17" spans="1:20">
      <c r="A17" s="88" t="s">
        <v>825</v>
      </c>
      <c r="B17" s="188">
        <f t="shared" si="0"/>
        <v>6.9999999999999999E-6</v>
      </c>
      <c r="D17" s="188" t="s">
        <v>37</v>
      </c>
      <c r="E17" s="188" t="s">
        <v>40</v>
      </c>
      <c r="F17" s="188" t="s">
        <v>29</v>
      </c>
      <c r="G17" s="37" t="s">
        <v>59</v>
      </c>
      <c r="H17" s="188" t="s">
        <v>33</v>
      </c>
      <c r="I17" s="188">
        <v>2</v>
      </c>
      <c r="J17" s="188">
        <f t="shared" si="1"/>
        <v>-11.86960040890896</v>
      </c>
      <c r="K17" s="188">
        <v>3.7749172176353707E-2</v>
      </c>
      <c r="L17" s="188" t="s">
        <v>31</v>
      </c>
      <c r="M17" s="188" t="s">
        <v>31</v>
      </c>
      <c r="N17" s="188" t="s">
        <v>31</v>
      </c>
      <c r="Q17" s="383" t="s">
        <v>580</v>
      </c>
      <c r="R17" s="394">
        <v>7.0000000000000001E-3</v>
      </c>
      <c r="S17" s="188">
        <f>R17*0.001</f>
        <v>6.9999999999999999E-6</v>
      </c>
      <c r="T17" s="188" t="s">
        <v>241</v>
      </c>
    </row>
    <row r="18" spans="1:20">
      <c r="A18" s="88" t="s">
        <v>799</v>
      </c>
      <c r="B18" s="188">
        <f t="shared" si="0"/>
        <v>1.26E-4</v>
      </c>
      <c r="D18" s="188" t="s">
        <v>37</v>
      </c>
      <c r="E18" s="188" t="s">
        <v>40</v>
      </c>
      <c r="F18" s="188" t="s">
        <v>29</v>
      </c>
      <c r="G18" s="37" t="s">
        <v>74</v>
      </c>
      <c r="H18" s="188" t="s">
        <v>33</v>
      </c>
      <c r="I18" s="188">
        <v>2</v>
      </c>
      <c r="J18" s="188">
        <f t="shared" si="1"/>
        <v>-8.9792286510127965</v>
      </c>
      <c r="K18" s="188">
        <v>3.7749172176353707E-2</v>
      </c>
      <c r="L18" s="188" t="s">
        <v>31</v>
      </c>
      <c r="M18" s="188" t="s">
        <v>31</v>
      </c>
      <c r="N18" s="188" t="s">
        <v>31</v>
      </c>
      <c r="Q18" s="383" t="s">
        <v>580</v>
      </c>
      <c r="R18" s="394">
        <v>0.126</v>
      </c>
      <c r="S18" s="188">
        <f>R18*0.001</f>
        <v>1.26E-4</v>
      </c>
      <c r="T18" s="188" t="s">
        <v>241</v>
      </c>
    </row>
    <row r="19" spans="1:20">
      <c r="A19" s="88" t="s">
        <v>202</v>
      </c>
      <c r="B19" s="188">
        <f t="shared" si="0"/>
        <v>1.4999999999999999E-2</v>
      </c>
      <c r="D19" s="188" t="s">
        <v>37</v>
      </c>
      <c r="E19" s="188" t="s">
        <v>40</v>
      </c>
      <c r="F19" s="188" t="s">
        <v>29</v>
      </c>
      <c r="G19" s="37" t="s">
        <v>35</v>
      </c>
      <c r="H19" s="188" t="s">
        <v>33</v>
      </c>
      <c r="I19" s="188">
        <v>2</v>
      </c>
      <c r="J19" s="188">
        <f t="shared" si="1"/>
        <v>-4.1997050778799272</v>
      </c>
      <c r="K19" s="188">
        <v>3.7749172176353707E-2</v>
      </c>
      <c r="L19" s="188" t="s">
        <v>31</v>
      </c>
      <c r="M19" s="188" t="s">
        <v>31</v>
      </c>
      <c r="N19" s="188" t="s">
        <v>31</v>
      </c>
      <c r="Q19" s="383" t="s">
        <v>241</v>
      </c>
      <c r="R19" s="394">
        <v>1.4999999999999999E-2</v>
      </c>
      <c r="S19" s="392">
        <f>R19</f>
        <v>1.4999999999999999E-2</v>
      </c>
      <c r="T19" s="188" t="s">
        <v>241</v>
      </c>
    </row>
    <row r="20" spans="1:20">
      <c r="A20" s="370" t="s">
        <v>5</v>
      </c>
      <c r="B20" s="371" t="s">
        <v>822</v>
      </c>
      <c r="C20" s="371"/>
      <c r="D20" s="372"/>
      <c r="E20" s="353"/>
      <c r="F20" s="353"/>
      <c r="G20" s="353"/>
      <c r="H20" s="353"/>
      <c r="I20" s="353"/>
      <c r="J20" s="353"/>
      <c r="K20" s="353"/>
      <c r="L20" s="353"/>
      <c r="M20" s="353"/>
      <c r="N20" s="353"/>
    </row>
    <row r="21" spans="1:20">
      <c r="A21" s="346" t="s">
        <v>7</v>
      </c>
      <c r="B21" s="188" t="s">
        <v>786</v>
      </c>
      <c r="D21" s="345"/>
    </row>
    <row r="22" spans="1:20">
      <c r="A22" s="346" t="s">
        <v>9</v>
      </c>
      <c r="B22" s="381" t="s">
        <v>826</v>
      </c>
      <c r="C22" s="381"/>
      <c r="D22" s="345"/>
    </row>
    <row r="23" spans="1:20" ht="14.25" customHeight="1">
      <c r="A23" s="346" t="s">
        <v>11</v>
      </c>
      <c r="B23" s="347" t="s">
        <v>796</v>
      </c>
      <c r="C23" s="347"/>
    </row>
    <row r="24" spans="1:20">
      <c r="A24" s="346" t="s">
        <v>13</v>
      </c>
      <c r="B24" s="188" t="s">
        <v>14</v>
      </c>
    </row>
    <row r="25" spans="1:20">
      <c r="A25" s="346" t="s">
        <v>15</v>
      </c>
      <c r="B25" s="188">
        <v>7.0000000000000001E-3</v>
      </c>
    </row>
    <row r="26" spans="1:20">
      <c r="A26" s="346" t="s">
        <v>16</v>
      </c>
      <c r="B26" s="188" t="s">
        <v>17</v>
      </c>
    </row>
    <row r="27" spans="1:20">
      <c r="A27" s="346" t="s">
        <v>18</v>
      </c>
      <c r="B27" s="188" t="s">
        <v>609</v>
      </c>
    </row>
    <row r="28" spans="1:20">
      <c r="A28" s="343" t="s">
        <v>19</v>
      </c>
    </row>
    <row r="29" spans="1:20">
      <c r="A29" s="343" t="s">
        <v>20</v>
      </c>
      <c r="B29" s="344" t="s">
        <v>21</v>
      </c>
      <c r="C29" s="382" t="s">
        <v>217</v>
      </c>
      <c r="D29" s="344" t="s">
        <v>18</v>
      </c>
      <c r="E29" s="344" t="s">
        <v>22</v>
      </c>
      <c r="F29" s="344" t="s">
        <v>7</v>
      </c>
      <c r="G29" s="344" t="s">
        <v>13</v>
      </c>
      <c r="H29" s="344" t="s">
        <v>16</v>
      </c>
      <c r="I29" s="344" t="s">
        <v>23</v>
      </c>
      <c r="J29" s="344" t="s">
        <v>24</v>
      </c>
      <c r="K29" s="344" t="s">
        <v>25</v>
      </c>
      <c r="L29" s="344" t="s">
        <v>26</v>
      </c>
      <c r="M29" s="344" t="s">
        <v>27</v>
      </c>
      <c r="N29" s="344" t="s">
        <v>28</v>
      </c>
      <c r="O29" s="344" t="s">
        <v>11</v>
      </c>
    </row>
    <row r="30" spans="1:20">
      <c r="A30" s="346" t="s">
        <v>822</v>
      </c>
      <c r="B30" s="188">
        <v>7.0000000000000001E-3</v>
      </c>
      <c r="D30" s="188" t="s">
        <v>609</v>
      </c>
      <c r="E30" s="188" t="s">
        <v>2</v>
      </c>
      <c r="F30" s="188" t="s">
        <v>29</v>
      </c>
      <c r="G30" s="37" t="s">
        <v>14</v>
      </c>
      <c r="H30" s="188" t="s">
        <v>30</v>
      </c>
      <c r="I30" s="188">
        <v>1</v>
      </c>
      <c r="J30" s="188">
        <f>B30</f>
        <v>7.0000000000000001E-3</v>
      </c>
      <c r="K30" s="188" t="s">
        <v>31</v>
      </c>
      <c r="L30" s="188" t="s">
        <v>31</v>
      </c>
      <c r="M30" s="188" t="s">
        <v>31</v>
      </c>
      <c r="N30" s="188" t="s">
        <v>31</v>
      </c>
    </row>
    <row r="31" spans="1:20">
      <c r="A31" s="346" t="s">
        <v>827</v>
      </c>
      <c r="B31" s="188">
        <v>1</v>
      </c>
      <c r="D31" s="188" t="s">
        <v>18</v>
      </c>
      <c r="E31" s="188" t="s">
        <v>2</v>
      </c>
      <c r="F31" s="188" t="s">
        <v>29</v>
      </c>
      <c r="G31" s="37" t="s">
        <v>14</v>
      </c>
      <c r="H31" s="188" t="s">
        <v>33</v>
      </c>
      <c r="I31" s="188">
        <v>1</v>
      </c>
      <c r="J31" s="188">
        <f>B31</f>
        <v>1</v>
      </c>
      <c r="K31" s="188" t="s">
        <v>31</v>
      </c>
      <c r="L31" s="188" t="s">
        <v>31</v>
      </c>
      <c r="M31" s="188" t="s">
        <v>31</v>
      </c>
      <c r="N31" s="188" t="s">
        <v>31</v>
      </c>
    </row>
    <row r="32" spans="1:20">
      <c r="A32" s="346" t="s">
        <v>269</v>
      </c>
      <c r="B32" s="188">
        <v>1.02</v>
      </c>
      <c r="D32" s="188" t="s">
        <v>39</v>
      </c>
      <c r="E32" s="188" t="s">
        <v>40</v>
      </c>
      <c r="F32" s="188" t="s">
        <v>29</v>
      </c>
      <c r="G32" s="37" t="s">
        <v>14</v>
      </c>
      <c r="H32" s="188" t="s">
        <v>33</v>
      </c>
      <c r="I32" s="188">
        <v>2</v>
      </c>
      <c r="J32" s="188">
        <f>LN(B32)</f>
        <v>1.980262729617973E-2</v>
      </c>
      <c r="K32" s="188">
        <v>3.7749171999999998E-2</v>
      </c>
      <c r="L32" s="188" t="s">
        <v>31</v>
      </c>
      <c r="M32" s="188" t="s">
        <v>31</v>
      </c>
      <c r="N32" s="188" t="s">
        <v>31</v>
      </c>
    </row>
    <row r="33" spans="1:14">
      <c r="A33" s="346" t="s">
        <v>798</v>
      </c>
      <c r="B33" s="188">
        <f>1.4/1000</f>
        <v>1.4E-3</v>
      </c>
      <c r="D33" s="188" t="s">
        <v>37</v>
      </c>
      <c r="E33" s="188" t="s">
        <v>40</v>
      </c>
      <c r="F33" s="188" t="s">
        <v>29</v>
      </c>
      <c r="G33" s="37" t="s">
        <v>35</v>
      </c>
      <c r="H33" s="188" t="s">
        <v>33</v>
      </c>
      <c r="I33" s="188">
        <v>2</v>
      </c>
      <c r="J33" s="188">
        <f t="shared" ref="J33:J45" si="2">LN(B33)</f>
        <v>-6.5712830423609239</v>
      </c>
      <c r="K33" s="188">
        <v>3.7749171999999998E-2</v>
      </c>
      <c r="L33" s="188" t="s">
        <v>31</v>
      </c>
      <c r="M33" s="188" t="s">
        <v>31</v>
      </c>
      <c r="N33" s="188" t="s">
        <v>31</v>
      </c>
    </row>
    <row r="34" spans="1:14">
      <c r="A34" s="346" t="s">
        <v>308</v>
      </c>
      <c r="B34" s="188">
        <f>0.2/1000</f>
        <v>2.0000000000000001E-4</v>
      </c>
      <c r="D34" s="188" t="s">
        <v>37</v>
      </c>
      <c r="E34" s="188" t="s">
        <v>40</v>
      </c>
      <c r="F34" s="188" t="s">
        <v>29</v>
      </c>
      <c r="G34" s="37" t="s">
        <v>59</v>
      </c>
      <c r="H34" s="188" t="s">
        <v>33</v>
      </c>
      <c r="I34" s="188">
        <v>2</v>
      </c>
      <c r="J34" s="188">
        <f t="shared" si="2"/>
        <v>-8.5171931914162382</v>
      </c>
      <c r="K34" s="188">
        <v>3.7749171999999998E-2</v>
      </c>
      <c r="L34" s="188" t="s">
        <v>31</v>
      </c>
      <c r="M34" s="188" t="s">
        <v>31</v>
      </c>
      <c r="N34" s="188" t="s">
        <v>31</v>
      </c>
    </row>
    <row r="35" spans="1:14">
      <c r="A35" s="346" t="s">
        <v>799</v>
      </c>
      <c r="B35" s="188">
        <f>7.1/1000</f>
        <v>7.0999999999999995E-3</v>
      </c>
      <c r="D35" s="188" t="s">
        <v>37</v>
      </c>
      <c r="E35" s="188" t="s">
        <v>40</v>
      </c>
      <c r="F35" s="188" t="s">
        <v>29</v>
      </c>
      <c r="G35" s="37" t="s">
        <v>74</v>
      </c>
      <c r="H35" s="188" t="s">
        <v>33</v>
      </c>
      <c r="I35" s="188">
        <v>2</v>
      </c>
      <c r="J35" s="188">
        <f t="shared" si="2"/>
        <v>-4.9476604949348673</v>
      </c>
      <c r="K35" s="188">
        <v>3.7749171999999998E-2</v>
      </c>
      <c r="L35" s="188" t="s">
        <v>31</v>
      </c>
      <c r="M35" s="188" t="s">
        <v>31</v>
      </c>
      <c r="N35" s="188" t="s">
        <v>31</v>
      </c>
    </row>
    <row r="36" spans="1:14">
      <c r="A36" s="346" t="s">
        <v>202</v>
      </c>
      <c r="B36" s="188">
        <v>1.4</v>
      </c>
      <c r="D36" s="188" t="s">
        <v>37</v>
      </c>
      <c r="E36" s="188" t="s">
        <v>40</v>
      </c>
      <c r="F36" s="188" t="s">
        <v>29</v>
      </c>
      <c r="G36" s="37" t="s">
        <v>35</v>
      </c>
      <c r="H36" s="188" t="s">
        <v>33</v>
      </c>
      <c r="I36" s="188">
        <v>2</v>
      </c>
      <c r="J36" s="188">
        <f t="shared" si="2"/>
        <v>0.33647223662121289</v>
      </c>
      <c r="K36" s="188">
        <v>3.7749171999999998E-2</v>
      </c>
      <c r="L36" s="188" t="s">
        <v>31</v>
      </c>
      <c r="M36" s="188" t="s">
        <v>31</v>
      </c>
      <c r="N36" s="188" t="s">
        <v>31</v>
      </c>
    </row>
    <row r="37" spans="1:14">
      <c r="A37" s="346" t="s">
        <v>800</v>
      </c>
      <c r="B37" s="188">
        <v>2E-3</v>
      </c>
      <c r="D37" s="188" t="s">
        <v>37</v>
      </c>
      <c r="E37" s="188" t="s">
        <v>40</v>
      </c>
      <c r="F37" s="188" t="s">
        <v>29</v>
      </c>
      <c r="G37" s="37" t="s">
        <v>59</v>
      </c>
      <c r="H37" s="188" t="s">
        <v>33</v>
      </c>
      <c r="I37" s="188">
        <v>2</v>
      </c>
      <c r="J37" s="188">
        <f t="shared" si="2"/>
        <v>-6.2146080984221914</v>
      </c>
      <c r="K37" s="188">
        <v>3.7749171999999998E-2</v>
      </c>
      <c r="L37" s="188" t="s">
        <v>31</v>
      </c>
      <c r="M37" s="188" t="s">
        <v>31</v>
      </c>
      <c r="N37" s="188" t="s">
        <v>31</v>
      </c>
    </row>
    <row r="38" spans="1:14">
      <c r="A38" s="346" t="s">
        <v>801</v>
      </c>
      <c r="B38" s="188">
        <v>3.0000000000000001E-3</v>
      </c>
      <c r="D38" s="188" t="s">
        <v>37</v>
      </c>
      <c r="E38" s="188" t="s">
        <v>40</v>
      </c>
      <c r="F38" s="188" t="s">
        <v>29</v>
      </c>
      <c r="G38" s="37" t="s">
        <v>59</v>
      </c>
      <c r="H38" s="188" t="s">
        <v>33</v>
      </c>
      <c r="I38" s="188">
        <v>2</v>
      </c>
      <c r="J38" s="188">
        <f t="shared" si="2"/>
        <v>-5.8091429903140277</v>
      </c>
      <c r="K38" s="188">
        <v>3.7749171999999998E-2</v>
      </c>
      <c r="L38" s="188" t="s">
        <v>31</v>
      </c>
      <c r="M38" s="188" t="s">
        <v>31</v>
      </c>
      <c r="N38" s="188" t="s">
        <v>31</v>
      </c>
    </row>
    <row r="39" spans="1:14">
      <c r="A39" s="346" t="s">
        <v>802</v>
      </c>
      <c r="B39" s="188">
        <v>2.9999999999999997E-4</v>
      </c>
      <c r="D39" s="188" t="s">
        <v>37</v>
      </c>
      <c r="E39" s="188" t="s">
        <v>40</v>
      </c>
      <c r="F39" s="188" t="s">
        <v>29</v>
      </c>
      <c r="G39" s="37" t="s">
        <v>35</v>
      </c>
      <c r="H39" s="188" t="s">
        <v>33</v>
      </c>
      <c r="I39" s="188">
        <v>2</v>
      </c>
      <c r="J39" s="188">
        <f t="shared" si="2"/>
        <v>-8.1117280833080727</v>
      </c>
      <c r="K39" s="188">
        <v>3.7749171999999998E-2</v>
      </c>
      <c r="L39" s="188" t="s">
        <v>31</v>
      </c>
      <c r="M39" s="188" t="s">
        <v>31</v>
      </c>
      <c r="N39" s="188" t="s">
        <v>31</v>
      </c>
    </row>
    <row r="40" spans="1:14">
      <c r="A40" s="346" t="s">
        <v>803</v>
      </c>
      <c r="B40" s="188">
        <v>1.5E-3</v>
      </c>
      <c r="D40" s="188" t="s">
        <v>37</v>
      </c>
      <c r="E40" s="188" t="s">
        <v>40</v>
      </c>
      <c r="F40" s="188" t="s">
        <v>29</v>
      </c>
      <c r="G40" s="37" t="s">
        <v>59</v>
      </c>
      <c r="H40" s="188" t="s">
        <v>33</v>
      </c>
      <c r="I40" s="188">
        <v>2</v>
      </c>
      <c r="J40" s="188">
        <f t="shared" si="2"/>
        <v>-6.5022901708739722</v>
      </c>
      <c r="K40" s="188">
        <v>3.7749171999999998E-2</v>
      </c>
      <c r="L40" s="188" t="s">
        <v>31</v>
      </c>
      <c r="M40" s="188" t="s">
        <v>31</v>
      </c>
      <c r="N40" s="188" t="s">
        <v>31</v>
      </c>
    </row>
    <row r="41" spans="1:14">
      <c r="A41" s="346" t="s">
        <v>804</v>
      </c>
      <c r="B41" s="188">
        <v>5.0000000000000001E-4</v>
      </c>
      <c r="D41" s="188" t="s">
        <v>37</v>
      </c>
      <c r="E41" s="188" t="s">
        <v>40</v>
      </c>
      <c r="F41" s="188" t="s">
        <v>29</v>
      </c>
      <c r="G41" s="37" t="s">
        <v>35</v>
      </c>
      <c r="H41" s="188" t="s">
        <v>33</v>
      </c>
      <c r="I41" s="188">
        <v>2</v>
      </c>
      <c r="J41" s="188">
        <f t="shared" si="2"/>
        <v>-7.6009024595420822</v>
      </c>
      <c r="K41" s="188">
        <v>3.7749171999999998E-2</v>
      </c>
      <c r="L41" s="188" t="s">
        <v>31</v>
      </c>
      <c r="M41" s="188" t="s">
        <v>31</v>
      </c>
      <c r="N41" s="188" t="s">
        <v>31</v>
      </c>
    </row>
    <row r="42" spans="1:14">
      <c r="A42" s="346" t="s">
        <v>322</v>
      </c>
      <c r="B42" s="188">
        <v>8.9999999999999992E-5</v>
      </c>
      <c r="D42" s="188" t="s">
        <v>37</v>
      </c>
      <c r="E42" s="188" t="s">
        <v>43</v>
      </c>
      <c r="F42" s="188" t="s">
        <v>44</v>
      </c>
      <c r="G42" s="37" t="s">
        <v>29</v>
      </c>
      <c r="H42" s="188" t="s">
        <v>45</v>
      </c>
      <c r="I42" s="188">
        <v>2</v>
      </c>
      <c r="J42" s="188">
        <f t="shared" si="2"/>
        <v>-9.3157008876340086</v>
      </c>
      <c r="K42" s="188">
        <v>3.7749171999999998E-2</v>
      </c>
      <c r="L42" s="188" t="s">
        <v>31</v>
      </c>
      <c r="M42" s="188" t="s">
        <v>31</v>
      </c>
      <c r="N42" s="188" t="s">
        <v>31</v>
      </c>
    </row>
    <row r="43" spans="1:14">
      <c r="A43" s="346" t="s">
        <v>758</v>
      </c>
      <c r="B43" s="188">
        <v>3.3999999999999998E-3</v>
      </c>
      <c r="D43" s="188" t="s">
        <v>37</v>
      </c>
      <c r="E43" s="188" t="s">
        <v>43</v>
      </c>
      <c r="F43" s="188" t="s">
        <v>44</v>
      </c>
      <c r="G43" s="37" t="s">
        <v>29</v>
      </c>
      <c r="H43" s="188" t="s">
        <v>45</v>
      </c>
      <c r="I43" s="188">
        <v>2</v>
      </c>
      <c r="J43" s="188">
        <f t="shared" si="2"/>
        <v>-5.6839798473600212</v>
      </c>
      <c r="K43" s="188">
        <v>3.7749171999999998E-2</v>
      </c>
      <c r="L43" s="188" t="s">
        <v>31</v>
      </c>
      <c r="M43" s="188" t="s">
        <v>31</v>
      </c>
      <c r="N43" s="188" t="s">
        <v>31</v>
      </c>
    </row>
    <row r="44" spans="1:14">
      <c r="A44" s="188" t="s">
        <v>784</v>
      </c>
      <c r="B44" s="188">
        <v>1.4E-3</v>
      </c>
      <c r="D44" s="188" t="s">
        <v>37</v>
      </c>
      <c r="E44" s="188" t="s">
        <v>2</v>
      </c>
      <c r="F44" s="188" t="s">
        <v>29</v>
      </c>
      <c r="G44" s="37" t="s">
        <v>74</v>
      </c>
      <c r="H44" s="188" t="s">
        <v>33</v>
      </c>
      <c r="I44" s="188">
        <v>2</v>
      </c>
      <c r="J44" s="188">
        <f t="shared" si="2"/>
        <v>-6.5712830423609239</v>
      </c>
      <c r="K44" s="188">
        <v>3.7749171999999998E-2</v>
      </c>
      <c r="L44" s="188" t="s">
        <v>31</v>
      </c>
      <c r="M44" s="188" t="s">
        <v>31</v>
      </c>
      <c r="N44" s="188" t="s">
        <v>31</v>
      </c>
    </row>
    <row r="45" spans="1:14">
      <c r="A45" s="188" t="s">
        <v>790</v>
      </c>
      <c r="B45" s="188">
        <v>6.0000000000000002E-5</v>
      </c>
      <c r="D45" s="188" t="s">
        <v>37</v>
      </c>
      <c r="E45" s="188" t="s">
        <v>2</v>
      </c>
      <c r="F45" s="188" t="s">
        <v>29</v>
      </c>
      <c r="G45" s="188" t="s">
        <v>74</v>
      </c>
      <c r="H45" s="188" t="s">
        <v>33</v>
      </c>
      <c r="I45" s="188">
        <v>2</v>
      </c>
      <c r="J45" s="188">
        <f t="shared" si="2"/>
        <v>-9.7211659957421741</v>
      </c>
      <c r="K45" s="188">
        <v>3.7749171999999998E-2</v>
      </c>
      <c r="L45" s="188" t="s">
        <v>31</v>
      </c>
      <c r="M45" s="188" t="s">
        <v>31</v>
      </c>
      <c r="N45" s="188" t="s">
        <v>31</v>
      </c>
    </row>
    <row r="46" spans="1:14">
      <c r="A46" s="370" t="s">
        <v>5</v>
      </c>
      <c r="B46" s="371" t="s">
        <v>827</v>
      </c>
      <c r="C46" s="371"/>
      <c r="D46" s="372"/>
      <c r="E46" s="353"/>
      <c r="F46" s="353"/>
      <c r="G46" s="353"/>
      <c r="H46" s="353"/>
      <c r="I46" s="353"/>
      <c r="J46" s="353"/>
      <c r="K46" s="353"/>
      <c r="L46" s="353"/>
      <c r="M46" s="353"/>
      <c r="N46" s="353"/>
    </row>
    <row r="47" spans="1:14">
      <c r="A47" s="346" t="s">
        <v>7</v>
      </c>
      <c r="B47" s="188" t="s">
        <v>786</v>
      </c>
      <c r="D47" s="345"/>
    </row>
    <row r="48" spans="1:14">
      <c r="A48" s="346" t="s">
        <v>9</v>
      </c>
      <c r="B48" s="188" t="s">
        <v>828</v>
      </c>
      <c r="D48" s="345"/>
    </row>
    <row r="49" spans="1:20" ht="14.25" customHeight="1">
      <c r="A49" s="346" t="s">
        <v>11</v>
      </c>
      <c r="B49" s="347" t="s">
        <v>796</v>
      </c>
      <c r="C49" s="347"/>
    </row>
    <row r="50" spans="1:20">
      <c r="A50" s="346" t="s">
        <v>13</v>
      </c>
      <c r="B50" s="188" t="s">
        <v>14</v>
      </c>
    </row>
    <row r="51" spans="1:20">
      <c r="A51" s="346" t="s">
        <v>15</v>
      </c>
      <c r="B51" s="188">
        <v>1</v>
      </c>
    </row>
    <row r="52" spans="1:20">
      <c r="A52" s="346" t="s">
        <v>16</v>
      </c>
      <c r="B52" s="188" t="s">
        <v>17</v>
      </c>
    </row>
    <row r="53" spans="1:20">
      <c r="A53" s="346" t="s">
        <v>18</v>
      </c>
      <c r="B53" s="188" t="s">
        <v>18</v>
      </c>
    </row>
    <row r="54" spans="1:20">
      <c r="A54" s="343" t="s">
        <v>19</v>
      </c>
    </row>
    <row r="55" spans="1:20">
      <c r="A55" s="343" t="s">
        <v>20</v>
      </c>
      <c r="B55" s="344" t="s">
        <v>21</v>
      </c>
      <c r="C55" s="382" t="s">
        <v>217</v>
      </c>
      <c r="D55" s="344" t="s">
        <v>18</v>
      </c>
      <c r="E55" s="344" t="s">
        <v>22</v>
      </c>
      <c r="F55" s="344" t="s">
        <v>7</v>
      </c>
      <c r="G55" s="344" t="s">
        <v>13</v>
      </c>
      <c r="H55" s="344" t="s">
        <v>16</v>
      </c>
      <c r="I55" s="344" t="s">
        <v>23</v>
      </c>
      <c r="J55" s="344" t="s">
        <v>24</v>
      </c>
      <c r="K55" s="344" t="s">
        <v>25</v>
      </c>
      <c r="L55" s="344" t="s">
        <v>26</v>
      </c>
      <c r="M55" s="344" t="s">
        <v>27</v>
      </c>
      <c r="N55" s="344" t="s">
        <v>28</v>
      </c>
      <c r="O55" s="344" t="s">
        <v>11</v>
      </c>
    </row>
    <row r="56" spans="1:20">
      <c r="A56" s="346" t="s">
        <v>827</v>
      </c>
      <c r="B56" s="188">
        <v>1</v>
      </c>
      <c r="D56" s="188" t="s">
        <v>18</v>
      </c>
      <c r="E56" s="188" t="s">
        <v>2</v>
      </c>
      <c r="F56" s="188" t="s">
        <v>29</v>
      </c>
      <c r="G56" s="37" t="s">
        <v>14</v>
      </c>
      <c r="H56" s="188" t="s">
        <v>30</v>
      </c>
      <c r="I56" s="188">
        <v>1</v>
      </c>
      <c r="J56" s="188">
        <f>B56</f>
        <v>1</v>
      </c>
      <c r="K56" s="188" t="s">
        <v>31</v>
      </c>
      <c r="L56" s="188" t="s">
        <v>31</v>
      </c>
      <c r="M56" s="188" t="s">
        <v>31</v>
      </c>
      <c r="N56" s="188" t="s">
        <v>31</v>
      </c>
    </row>
    <row r="57" spans="1:20">
      <c r="A57" s="346" t="s">
        <v>806</v>
      </c>
      <c r="B57" s="188">
        <f>T57</f>
        <v>6.9999999999999993E-3</v>
      </c>
      <c r="D57" s="188" t="s">
        <v>609</v>
      </c>
      <c r="E57" s="188" t="s">
        <v>40</v>
      </c>
      <c r="F57" s="188" t="s">
        <v>29</v>
      </c>
      <c r="G57" s="37" t="s">
        <v>59</v>
      </c>
      <c r="H57" s="188" t="s">
        <v>33</v>
      </c>
      <c r="I57" s="188">
        <v>2</v>
      </c>
      <c r="J57" s="188">
        <f>LN(B57)</f>
        <v>-4.9618451299268242</v>
      </c>
      <c r="K57" s="188">
        <v>2.8722813232690055E-2</v>
      </c>
      <c r="L57" s="188" t="s">
        <v>31</v>
      </c>
      <c r="M57" s="188" t="s">
        <v>31</v>
      </c>
      <c r="N57" s="188" t="s">
        <v>31</v>
      </c>
      <c r="Q57" s="383" t="s">
        <v>807</v>
      </c>
      <c r="R57" s="384">
        <v>0.7</v>
      </c>
      <c r="S57" s="188" t="s">
        <v>610</v>
      </c>
      <c r="T57" s="188">
        <f>R57*0.01</f>
        <v>6.9999999999999993E-3</v>
      </c>
    </row>
    <row r="58" spans="1:20">
      <c r="A58" s="346" t="s">
        <v>808</v>
      </c>
      <c r="B58" s="188">
        <f t="shared" ref="B58:B70" si="3">T58</f>
        <v>3.7000000000000002E-3</v>
      </c>
      <c r="D58" s="188" t="s">
        <v>37</v>
      </c>
      <c r="E58" s="188" t="s">
        <v>40</v>
      </c>
      <c r="F58" s="188" t="s">
        <v>29</v>
      </c>
      <c r="G58" s="37" t="s">
        <v>59</v>
      </c>
      <c r="H58" s="188" t="s">
        <v>33</v>
      </c>
      <c r="I58" s="188">
        <v>2</v>
      </c>
      <c r="J58" s="188">
        <f t="shared" ref="J58:J70" si="4">LN(B58)</f>
        <v>-5.5994224593319579</v>
      </c>
      <c r="K58" s="188">
        <v>2.8722813232690055E-2</v>
      </c>
      <c r="L58" s="188" t="s">
        <v>31</v>
      </c>
      <c r="M58" s="188" t="s">
        <v>31</v>
      </c>
      <c r="N58" s="188" t="s">
        <v>31</v>
      </c>
      <c r="Q58" s="385" t="s">
        <v>580</v>
      </c>
      <c r="R58" s="386">
        <v>3.7</v>
      </c>
      <c r="S58" s="188" t="s">
        <v>241</v>
      </c>
      <c r="T58" s="188">
        <f>R58*0.001</f>
        <v>3.7000000000000002E-3</v>
      </c>
    </row>
    <row r="59" spans="1:20">
      <c r="A59" s="346" t="s">
        <v>809</v>
      </c>
      <c r="B59" s="188">
        <f t="shared" si="3"/>
        <v>1.9E-3</v>
      </c>
      <c r="D59" s="188" t="s">
        <v>37</v>
      </c>
      <c r="E59" s="188" t="s">
        <v>40</v>
      </c>
      <c r="F59" s="188" t="s">
        <v>29</v>
      </c>
      <c r="G59" s="37" t="s">
        <v>59</v>
      </c>
      <c r="H59" s="188" t="s">
        <v>33</v>
      </c>
      <c r="I59" s="188">
        <v>2</v>
      </c>
      <c r="J59" s="188">
        <f t="shared" si="4"/>
        <v>-6.2659013928097425</v>
      </c>
      <c r="K59" s="188">
        <v>2.8722813232690055E-2</v>
      </c>
      <c r="L59" s="188" t="s">
        <v>31</v>
      </c>
      <c r="M59" s="188" t="s">
        <v>31</v>
      </c>
      <c r="N59" s="188" t="s">
        <v>31</v>
      </c>
      <c r="Q59" s="383" t="s">
        <v>580</v>
      </c>
      <c r="R59" s="384">
        <v>1.9</v>
      </c>
      <c r="S59" s="188" t="s">
        <v>241</v>
      </c>
      <c r="T59" s="188">
        <f t="shared" ref="T59:T60" si="5">R59*0.001</f>
        <v>1.9E-3</v>
      </c>
    </row>
    <row r="60" spans="1:20">
      <c r="A60" s="346" t="s">
        <v>811</v>
      </c>
      <c r="B60" s="188">
        <f t="shared" si="3"/>
        <v>4.7999999999999996E-3</v>
      </c>
      <c r="D60" s="188" t="s">
        <v>37</v>
      </c>
      <c r="E60" s="188" t="s">
        <v>40</v>
      </c>
      <c r="F60" s="188" t="s">
        <v>29</v>
      </c>
      <c r="G60" s="37" t="s">
        <v>59</v>
      </c>
      <c r="H60" s="188" t="s">
        <v>33</v>
      </c>
      <c r="I60" s="188">
        <v>2</v>
      </c>
      <c r="J60" s="188">
        <f t="shared" si="4"/>
        <v>-5.339139361068292</v>
      </c>
      <c r="K60" s="188">
        <v>2.8722813232690055E-2</v>
      </c>
      <c r="L60" s="188" t="s">
        <v>31</v>
      </c>
      <c r="M60" s="188" t="s">
        <v>31</v>
      </c>
      <c r="N60" s="188" t="s">
        <v>31</v>
      </c>
      <c r="Q60" s="383" t="s">
        <v>580</v>
      </c>
      <c r="R60" s="386">
        <v>4.8</v>
      </c>
      <c r="S60" s="188" t="s">
        <v>241</v>
      </c>
      <c r="T60" s="188">
        <f t="shared" si="5"/>
        <v>4.7999999999999996E-3</v>
      </c>
    </row>
    <row r="61" spans="1:20">
      <c r="A61" s="188" t="s">
        <v>829</v>
      </c>
      <c r="B61" s="188">
        <f t="shared" si="3"/>
        <v>2.9999999999999997E-4</v>
      </c>
      <c r="D61" s="188" t="s">
        <v>37</v>
      </c>
      <c r="E61" s="188" t="s">
        <v>40</v>
      </c>
      <c r="F61" s="188" t="s">
        <v>29</v>
      </c>
      <c r="G61" s="37" t="s">
        <v>59</v>
      </c>
      <c r="H61" s="188" t="s">
        <v>33</v>
      </c>
      <c r="I61" s="188">
        <v>2</v>
      </c>
      <c r="J61" s="188">
        <f t="shared" si="4"/>
        <v>-8.1117280833080727</v>
      </c>
      <c r="K61" s="188">
        <v>2.8722813232690055E-2</v>
      </c>
      <c r="L61" s="188" t="s">
        <v>31</v>
      </c>
      <c r="M61" s="188" t="s">
        <v>31</v>
      </c>
      <c r="N61" s="188" t="s">
        <v>31</v>
      </c>
      <c r="Q61" s="385" t="s">
        <v>538</v>
      </c>
      <c r="R61" s="387">
        <v>300</v>
      </c>
      <c r="S61" s="188" t="s">
        <v>241</v>
      </c>
      <c r="T61" s="188">
        <f>R61*0.000001</f>
        <v>2.9999999999999997E-4</v>
      </c>
    </row>
    <row r="62" spans="1:20">
      <c r="A62" s="346" t="s">
        <v>812</v>
      </c>
      <c r="B62" s="188">
        <f t="shared" si="3"/>
        <v>1.1E-5</v>
      </c>
      <c r="D62" s="188" t="s">
        <v>37</v>
      </c>
      <c r="E62" s="188" t="s">
        <v>40</v>
      </c>
      <c r="F62" s="188" t="s">
        <v>29</v>
      </c>
      <c r="G62" s="37" t="s">
        <v>59</v>
      </c>
      <c r="H62" s="188" t="s">
        <v>33</v>
      </c>
      <c r="I62" s="188">
        <v>2</v>
      </c>
      <c r="J62" s="188">
        <f t="shared" si="4"/>
        <v>-11.417615285165903</v>
      </c>
      <c r="K62" s="188">
        <v>2.8722813232690055E-2</v>
      </c>
      <c r="L62" s="188" t="s">
        <v>31</v>
      </c>
      <c r="M62" s="188" t="s">
        <v>31</v>
      </c>
      <c r="N62" s="188" t="s">
        <v>31</v>
      </c>
      <c r="Q62" s="385" t="s">
        <v>538</v>
      </c>
      <c r="R62" s="387">
        <v>11</v>
      </c>
      <c r="S62" s="188" t="s">
        <v>241</v>
      </c>
      <c r="T62" s="188">
        <f>R62*0.000001</f>
        <v>1.1E-5</v>
      </c>
    </row>
    <row r="63" spans="1:20">
      <c r="A63" s="346" t="s">
        <v>813</v>
      </c>
      <c r="B63" s="188">
        <f t="shared" si="3"/>
        <v>5.4000000000000001E-4</v>
      </c>
      <c r="D63" s="188" t="s">
        <v>37</v>
      </c>
      <c r="E63" s="188" t="s">
        <v>40</v>
      </c>
      <c r="F63" s="188" t="s">
        <v>29</v>
      </c>
      <c r="G63" s="37" t="s">
        <v>59</v>
      </c>
      <c r="H63" s="188" t="s">
        <v>33</v>
      </c>
      <c r="I63" s="188">
        <v>2</v>
      </c>
      <c r="J63" s="188">
        <f t="shared" si="4"/>
        <v>-7.5239414184059541</v>
      </c>
      <c r="K63" s="188">
        <v>2.8722813232690055E-2</v>
      </c>
      <c r="L63" s="188" t="s">
        <v>31</v>
      </c>
      <c r="M63" s="188" t="s">
        <v>31</v>
      </c>
      <c r="N63" s="188" t="s">
        <v>31</v>
      </c>
      <c r="Q63" s="385" t="s">
        <v>538</v>
      </c>
      <c r="R63" s="387">
        <v>540</v>
      </c>
      <c r="S63" s="188" t="s">
        <v>241</v>
      </c>
      <c r="T63" s="188">
        <f>R63*0.000001</f>
        <v>5.4000000000000001E-4</v>
      </c>
    </row>
    <row r="64" spans="1:20">
      <c r="A64" s="346" t="s">
        <v>814</v>
      </c>
      <c r="B64" s="188">
        <f t="shared" si="3"/>
        <v>6.5000000000000006E-3</v>
      </c>
      <c r="D64" s="188" t="s">
        <v>37</v>
      </c>
      <c r="E64" s="188" t="s">
        <v>40</v>
      </c>
      <c r="F64" s="188" t="s">
        <v>29</v>
      </c>
      <c r="G64" s="37" t="s">
        <v>59</v>
      </c>
      <c r="H64" s="188" t="s">
        <v>33</v>
      </c>
      <c r="I64" s="188">
        <v>2</v>
      </c>
      <c r="J64" s="188">
        <f t="shared" si="4"/>
        <v>-5.0359531020805459</v>
      </c>
      <c r="K64" s="188">
        <v>2.8722813232690055E-2</v>
      </c>
      <c r="L64" s="188" t="s">
        <v>31</v>
      </c>
      <c r="M64" s="188" t="s">
        <v>31</v>
      </c>
      <c r="N64" s="188" t="s">
        <v>31</v>
      </c>
      <c r="Q64" s="385" t="s">
        <v>580</v>
      </c>
      <c r="R64" s="386">
        <v>6.5</v>
      </c>
      <c r="S64" s="188" t="s">
        <v>241</v>
      </c>
      <c r="T64" s="188">
        <f t="shared" ref="T64" si="6">R64*0.001</f>
        <v>6.5000000000000006E-3</v>
      </c>
    </row>
    <row r="65" spans="1:20">
      <c r="A65" s="88" t="s">
        <v>830</v>
      </c>
      <c r="B65" s="188">
        <f t="shared" si="3"/>
        <v>3.6000000000000001E-5</v>
      </c>
      <c r="D65" s="188" t="s">
        <v>37</v>
      </c>
      <c r="E65" s="188" t="s">
        <v>40</v>
      </c>
      <c r="F65" s="188" t="s">
        <v>29</v>
      </c>
      <c r="G65" s="37" t="s">
        <v>59</v>
      </c>
      <c r="H65" s="188" t="s">
        <v>33</v>
      </c>
      <c r="I65" s="188">
        <v>2</v>
      </c>
      <c r="J65" s="188">
        <f t="shared" si="4"/>
        <v>-10.231991619508165</v>
      </c>
      <c r="K65" s="188">
        <v>2.8722813232690055E-2</v>
      </c>
      <c r="L65" s="188" t="s">
        <v>31</v>
      </c>
      <c r="M65" s="188" t="s">
        <v>31</v>
      </c>
      <c r="N65" s="188" t="s">
        <v>31</v>
      </c>
      <c r="Q65" s="383" t="s">
        <v>538</v>
      </c>
      <c r="R65" s="388">
        <v>36</v>
      </c>
      <c r="S65" s="188" t="s">
        <v>241</v>
      </c>
      <c r="T65" s="188">
        <f>R65*0.000001</f>
        <v>3.6000000000000001E-5</v>
      </c>
    </row>
    <row r="66" spans="1:20">
      <c r="A66" s="346" t="s">
        <v>815</v>
      </c>
      <c r="B66" s="188">
        <f t="shared" si="3"/>
        <v>3.5E-4</v>
      </c>
      <c r="D66" s="188" t="s">
        <v>37</v>
      </c>
      <c r="E66" s="188" t="s">
        <v>40</v>
      </c>
      <c r="F66" s="188" t="s">
        <v>29</v>
      </c>
      <c r="G66" s="37" t="s">
        <v>59</v>
      </c>
      <c r="H66" s="188" t="s">
        <v>33</v>
      </c>
      <c r="I66" s="188">
        <v>2</v>
      </c>
      <c r="J66" s="188">
        <f t="shared" si="4"/>
        <v>-7.9575774034808147</v>
      </c>
      <c r="K66" s="188">
        <v>2.8722813232690055E-2</v>
      </c>
      <c r="L66" s="188" t="s">
        <v>31</v>
      </c>
      <c r="M66" s="188" t="s">
        <v>31</v>
      </c>
      <c r="N66" s="188" t="s">
        <v>31</v>
      </c>
      <c r="Q66" s="385" t="s">
        <v>538</v>
      </c>
      <c r="R66" s="387">
        <v>350</v>
      </c>
      <c r="S66" s="188" t="s">
        <v>241</v>
      </c>
      <c r="T66" s="188">
        <f>R66*0.000001</f>
        <v>3.5E-4</v>
      </c>
    </row>
    <row r="67" spans="1:20">
      <c r="A67" s="88" t="s">
        <v>831</v>
      </c>
      <c r="B67" s="188">
        <f t="shared" si="3"/>
        <v>1.8E-5</v>
      </c>
      <c r="D67" s="188" t="s">
        <v>37</v>
      </c>
      <c r="E67" s="188" t="s">
        <v>40</v>
      </c>
      <c r="F67" s="188" t="s">
        <v>29</v>
      </c>
      <c r="G67" s="37" t="s">
        <v>59</v>
      </c>
      <c r="H67" s="188" t="s">
        <v>33</v>
      </c>
      <c r="I67" s="188">
        <v>2</v>
      </c>
      <c r="J67" s="188">
        <f t="shared" si="4"/>
        <v>-10.92513880006811</v>
      </c>
      <c r="K67" s="188">
        <v>2.8722813232690055E-2</v>
      </c>
      <c r="L67" s="188" t="s">
        <v>31</v>
      </c>
      <c r="M67" s="188" t="s">
        <v>31</v>
      </c>
      <c r="N67" s="188" t="s">
        <v>31</v>
      </c>
      <c r="Q67" s="383" t="s">
        <v>538</v>
      </c>
      <c r="R67" s="388">
        <v>18</v>
      </c>
      <c r="S67" s="188" t="s">
        <v>241</v>
      </c>
      <c r="T67" s="188">
        <f>R67*0.000001</f>
        <v>1.8E-5</v>
      </c>
    </row>
    <row r="68" spans="1:20">
      <c r="A68" s="88" t="s">
        <v>832</v>
      </c>
      <c r="B68" s="188">
        <f t="shared" si="3"/>
        <v>5.7000000000000002E-3</v>
      </c>
      <c r="D68" s="188" t="s">
        <v>37</v>
      </c>
      <c r="E68" s="188" t="s">
        <v>40</v>
      </c>
      <c r="F68" s="188" t="s">
        <v>29</v>
      </c>
      <c r="G68" s="37" t="s">
        <v>59</v>
      </c>
      <c r="H68" s="188" t="s">
        <v>33</v>
      </c>
      <c r="I68" s="188">
        <v>2</v>
      </c>
      <c r="J68" s="188">
        <f t="shared" si="4"/>
        <v>-5.1672891041416324</v>
      </c>
      <c r="K68" s="188">
        <v>2.8722813232690055E-2</v>
      </c>
      <c r="L68" s="188" t="s">
        <v>31</v>
      </c>
      <c r="M68" s="188" t="s">
        <v>31</v>
      </c>
      <c r="N68" s="188" t="s">
        <v>31</v>
      </c>
      <c r="Q68" s="385" t="s">
        <v>580</v>
      </c>
      <c r="R68" s="386">
        <v>5.7</v>
      </c>
      <c r="S68" s="188" t="s">
        <v>241</v>
      </c>
      <c r="T68" s="188">
        <f>R68*0.001</f>
        <v>5.7000000000000002E-3</v>
      </c>
    </row>
    <row r="69" spans="1:20">
      <c r="A69" s="346" t="s">
        <v>816</v>
      </c>
      <c r="B69" s="188">
        <f t="shared" si="3"/>
        <v>2.9999999999999997E-4</v>
      </c>
      <c r="D69" s="188" t="s">
        <v>37</v>
      </c>
      <c r="E69" s="188" t="s">
        <v>40</v>
      </c>
      <c r="F69" s="188" t="s">
        <v>29</v>
      </c>
      <c r="G69" s="37" t="s">
        <v>59</v>
      </c>
      <c r="H69" s="188" t="s">
        <v>33</v>
      </c>
      <c r="I69" s="188">
        <v>2</v>
      </c>
      <c r="J69" s="188">
        <f t="shared" si="4"/>
        <v>-8.1117280833080727</v>
      </c>
      <c r="K69" s="188">
        <v>2.8722813232690055E-2</v>
      </c>
      <c r="L69" s="188" t="s">
        <v>31</v>
      </c>
      <c r="M69" s="188" t="s">
        <v>31</v>
      </c>
      <c r="N69" s="188" t="s">
        <v>31</v>
      </c>
      <c r="Q69" s="383" t="s">
        <v>538</v>
      </c>
      <c r="R69" s="388">
        <v>300</v>
      </c>
      <c r="S69" s="188" t="s">
        <v>241</v>
      </c>
      <c r="T69" s="188">
        <f>R69*0.000001</f>
        <v>2.9999999999999997E-4</v>
      </c>
    </row>
    <row r="70" spans="1:20">
      <c r="A70" s="346" t="s">
        <v>818</v>
      </c>
      <c r="B70" s="188">
        <f t="shared" si="3"/>
        <v>5.4000000000000001E-4</v>
      </c>
      <c r="D70" s="188" t="s">
        <v>37</v>
      </c>
      <c r="E70" s="188" t="s">
        <v>40</v>
      </c>
      <c r="F70" s="188" t="s">
        <v>29</v>
      </c>
      <c r="G70" s="37" t="s">
        <v>59</v>
      </c>
      <c r="H70" s="188" t="s">
        <v>33</v>
      </c>
      <c r="I70" s="188">
        <v>2</v>
      </c>
      <c r="J70" s="188">
        <f t="shared" si="4"/>
        <v>-7.5239414184059541</v>
      </c>
      <c r="K70" s="188">
        <v>2.8722813232690055E-2</v>
      </c>
      <c r="L70" s="188" t="s">
        <v>31</v>
      </c>
      <c r="M70" s="188" t="s">
        <v>31</v>
      </c>
      <c r="N70" s="188" t="s">
        <v>31</v>
      </c>
      <c r="Q70" s="385" t="s">
        <v>538</v>
      </c>
      <c r="R70" s="387">
        <v>540</v>
      </c>
      <c r="S70" s="188" t="s">
        <v>241</v>
      </c>
      <c r="T70" s="188">
        <f>R70*0.000001</f>
        <v>5.4000000000000001E-4</v>
      </c>
    </row>
    <row r="75" spans="1:20">
      <c r="B75" s="381"/>
      <c r="C75" s="381"/>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workbookViewId="0">
      <selection activeCell="B10" sqref="B10"/>
    </sheetView>
  </sheetViews>
  <sheetFormatPr defaultRowHeight="14.45"/>
  <cols>
    <col min="1" max="1" width="41.42578125" bestFit="1" customWidth="1"/>
    <col min="2" max="2" width="40.7109375" bestFit="1" customWidth="1"/>
    <col min="3" max="3" width="5" bestFit="1" customWidth="1"/>
    <col min="4" max="4" width="14.5703125" bestFit="1"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6">
      <c r="A2" s="1" t="s">
        <v>5</v>
      </c>
      <c r="B2" s="2" t="s">
        <v>32</v>
      </c>
      <c r="C2" s="3"/>
      <c r="D2" s="11"/>
      <c r="E2" s="11"/>
      <c r="F2" s="11"/>
      <c r="G2" s="11"/>
      <c r="H2" s="11"/>
      <c r="I2" s="11"/>
      <c r="J2" s="11"/>
      <c r="K2" s="11"/>
      <c r="L2" s="11"/>
      <c r="M2" s="11"/>
    </row>
    <row r="3" spans="1:13">
      <c r="A3" s="12" t="s">
        <v>7</v>
      </c>
      <c r="B3" s="13" t="s">
        <v>49</v>
      </c>
      <c r="C3" s="4"/>
      <c r="D3" s="13"/>
      <c r="E3" s="13"/>
      <c r="F3" s="13"/>
      <c r="G3" s="13"/>
      <c r="H3" s="13"/>
      <c r="I3" s="13"/>
      <c r="J3" s="13"/>
      <c r="K3" s="13"/>
      <c r="L3" s="13"/>
      <c r="M3" s="13"/>
    </row>
    <row r="4" spans="1:13">
      <c r="A4" s="12" t="s">
        <v>9</v>
      </c>
      <c r="B4" s="13" t="s">
        <v>50</v>
      </c>
      <c r="C4" s="4"/>
      <c r="D4" s="13"/>
      <c r="E4" s="13"/>
      <c r="F4" s="13"/>
      <c r="G4" s="13"/>
      <c r="H4" s="13"/>
      <c r="I4" s="13"/>
      <c r="J4" s="13"/>
      <c r="K4" s="13"/>
      <c r="L4" s="13"/>
      <c r="M4" s="13"/>
    </row>
    <row r="5" spans="1:13" ht="43.5">
      <c r="A5" s="12" t="s">
        <v>11</v>
      </c>
      <c r="B5" s="14" t="s">
        <v>51</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6">
      <c r="A10" s="5" t="s">
        <v>19</v>
      </c>
      <c r="B10" s="13"/>
      <c r="C10" s="13"/>
      <c r="D10" s="13"/>
      <c r="E10" s="13"/>
      <c r="F10" s="13"/>
      <c r="G10" s="13"/>
      <c r="H10" s="13"/>
      <c r="I10" s="13"/>
      <c r="J10" s="13"/>
      <c r="K10" s="13"/>
      <c r="L10" s="13"/>
      <c r="M10" s="13"/>
    </row>
    <row r="11" spans="1:13" ht="15.6">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6">
      <c r="A12" s="7" t="s">
        <v>32</v>
      </c>
      <c r="B12" s="13">
        <v>1</v>
      </c>
      <c r="C12" s="13" t="s">
        <v>18</v>
      </c>
      <c r="D12" s="8" t="s">
        <v>2</v>
      </c>
      <c r="E12" s="13" t="s">
        <v>29</v>
      </c>
      <c r="F12" s="13" t="s">
        <v>14</v>
      </c>
      <c r="G12" s="13" t="s">
        <v>30</v>
      </c>
      <c r="H12" s="13">
        <v>1</v>
      </c>
      <c r="I12" s="13">
        <v>1</v>
      </c>
      <c r="J12" s="13" t="s">
        <v>31</v>
      </c>
      <c r="K12" s="13" t="s">
        <v>31</v>
      </c>
      <c r="L12" s="13" t="s">
        <v>31</v>
      </c>
      <c r="M12" s="13" t="s">
        <v>31</v>
      </c>
    </row>
    <row r="13" spans="1:13" ht="15.6">
      <c r="A13" s="7" t="s">
        <v>52</v>
      </c>
      <c r="B13" s="13">
        <v>1</v>
      </c>
      <c r="C13" s="13" t="s">
        <v>18</v>
      </c>
      <c r="D13" s="8" t="s">
        <v>2</v>
      </c>
      <c r="E13" s="13" t="s">
        <v>29</v>
      </c>
      <c r="F13" s="13" t="s">
        <v>14</v>
      </c>
      <c r="G13" s="13" t="s">
        <v>33</v>
      </c>
      <c r="H13" s="13">
        <v>2</v>
      </c>
      <c r="I13" s="13">
        <f>LN(B13)</f>
        <v>0</v>
      </c>
      <c r="J13" s="13">
        <v>0.4147288270665544</v>
      </c>
      <c r="K13" s="13" t="s">
        <v>31</v>
      </c>
      <c r="L13" s="13" t="s">
        <v>31</v>
      </c>
      <c r="M13" s="13" t="s">
        <v>31</v>
      </c>
    </row>
    <row r="14" spans="1:13" ht="15.6">
      <c r="A14" s="7" t="s">
        <v>53</v>
      </c>
      <c r="B14" s="13">
        <v>1</v>
      </c>
      <c r="C14" s="13" t="s">
        <v>18</v>
      </c>
      <c r="D14" s="8" t="s">
        <v>2</v>
      </c>
      <c r="E14" s="13" t="s">
        <v>29</v>
      </c>
      <c r="F14" s="13" t="s">
        <v>14</v>
      </c>
      <c r="G14" s="13" t="s">
        <v>33</v>
      </c>
      <c r="H14" s="13">
        <v>2</v>
      </c>
      <c r="I14" s="13">
        <f t="shared" ref="I14:I17" si="0">LN(B14)</f>
        <v>0</v>
      </c>
      <c r="J14" s="13">
        <v>0.4147288270665544</v>
      </c>
      <c r="K14" s="13" t="s">
        <v>31</v>
      </c>
      <c r="L14" s="13" t="s">
        <v>31</v>
      </c>
      <c r="M14" s="13" t="s">
        <v>31</v>
      </c>
    </row>
    <row r="15" spans="1:13" ht="15.6">
      <c r="A15" s="7" t="s">
        <v>54</v>
      </c>
      <c r="B15" s="13">
        <v>1</v>
      </c>
      <c r="C15" s="13" t="s">
        <v>18</v>
      </c>
      <c r="D15" s="8" t="s">
        <v>2</v>
      </c>
      <c r="E15" s="13" t="s">
        <v>29</v>
      </c>
      <c r="F15" s="13" t="s">
        <v>14</v>
      </c>
      <c r="G15" s="13" t="s">
        <v>33</v>
      </c>
      <c r="H15" s="13">
        <v>2</v>
      </c>
      <c r="I15" s="13">
        <f t="shared" si="0"/>
        <v>0</v>
      </c>
      <c r="J15" s="13">
        <v>0.4147288270665544</v>
      </c>
      <c r="K15" s="13" t="s">
        <v>31</v>
      </c>
      <c r="L15" s="13" t="s">
        <v>31</v>
      </c>
      <c r="M15" s="13" t="s">
        <v>31</v>
      </c>
    </row>
    <row r="16" spans="1:13" ht="15.6">
      <c r="A16" s="7" t="s">
        <v>55</v>
      </c>
      <c r="B16" s="13">
        <v>1</v>
      </c>
      <c r="C16" s="13" t="s">
        <v>18</v>
      </c>
      <c r="D16" s="8" t="s">
        <v>2</v>
      </c>
      <c r="E16" s="13" t="s">
        <v>29</v>
      </c>
      <c r="F16" s="13" t="s">
        <v>14</v>
      </c>
      <c r="G16" s="13" t="s">
        <v>33</v>
      </c>
      <c r="H16" s="13">
        <v>2</v>
      </c>
      <c r="I16" s="13">
        <f t="shared" si="0"/>
        <v>0</v>
      </c>
      <c r="J16" s="13">
        <v>0.4147288270665544</v>
      </c>
      <c r="K16" s="13" t="s">
        <v>31</v>
      </c>
      <c r="L16" s="13" t="s">
        <v>31</v>
      </c>
      <c r="M16" s="13" t="s">
        <v>31</v>
      </c>
    </row>
    <row r="17" spans="1:13" ht="15.6">
      <c r="A17" s="7" t="s">
        <v>56</v>
      </c>
      <c r="B17" s="13">
        <v>1</v>
      </c>
      <c r="C17" s="13" t="s">
        <v>18</v>
      </c>
      <c r="D17" s="8" t="s">
        <v>2</v>
      </c>
      <c r="E17" s="13" t="s">
        <v>29</v>
      </c>
      <c r="F17" s="13" t="s">
        <v>14</v>
      </c>
      <c r="G17" s="13" t="s">
        <v>33</v>
      </c>
      <c r="H17" s="13">
        <v>2</v>
      </c>
      <c r="I17" s="13">
        <f t="shared" si="0"/>
        <v>0</v>
      </c>
      <c r="J17" s="13">
        <v>0.4147288270665544</v>
      </c>
      <c r="K17" s="13" t="s">
        <v>31</v>
      </c>
      <c r="L17" s="13" t="s">
        <v>31</v>
      </c>
      <c r="M17" s="13" t="s">
        <v>31</v>
      </c>
    </row>
    <row r="18" spans="1:13" ht="15.6">
      <c r="A18" s="7" t="s">
        <v>57</v>
      </c>
      <c r="B18" s="13">
        <v>1</v>
      </c>
      <c r="C18" s="13" t="s">
        <v>18</v>
      </c>
      <c r="D18" s="8" t="s">
        <v>2</v>
      </c>
      <c r="E18" s="13" t="s">
        <v>58</v>
      </c>
      <c r="F18" s="13" t="s">
        <v>59</v>
      </c>
      <c r="G18" s="13" t="s">
        <v>33</v>
      </c>
      <c r="H18" s="13">
        <v>2</v>
      </c>
      <c r="I18" s="13">
        <f t="shared" ref="I18" si="1">LN(B18)</f>
        <v>0</v>
      </c>
      <c r="J18" s="13">
        <v>0.4147288270665544</v>
      </c>
      <c r="K18" s="13" t="s">
        <v>31</v>
      </c>
      <c r="L18" s="13" t="s">
        <v>31</v>
      </c>
      <c r="M18" s="13" t="s">
        <v>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96C25-048B-4B81-B0E7-506E4B0B573E}">
  <sheetPr>
    <tabColor theme="9"/>
  </sheetPr>
  <dimension ref="A1:U56"/>
  <sheetViews>
    <sheetView topLeftCell="B1" zoomScale="85" zoomScaleNormal="85" workbookViewId="0">
      <selection activeCell="I13" sqref="I13:I29"/>
    </sheetView>
  </sheetViews>
  <sheetFormatPr defaultRowHeight="14.4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70" t="s">
        <v>5</v>
      </c>
      <c r="B2" s="371" t="s">
        <v>770</v>
      </c>
      <c r="C2" s="372"/>
      <c r="D2" s="353"/>
      <c r="E2" s="353"/>
      <c r="F2" s="353"/>
      <c r="G2" s="353"/>
      <c r="H2" s="353"/>
      <c r="I2" s="353"/>
      <c r="J2" s="353"/>
      <c r="K2" s="353"/>
      <c r="L2" s="353"/>
      <c r="M2" s="353"/>
      <c r="N2" s="188"/>
      <c r="O2" s="188"/>
      <c r="P2" s="188"/>
      <c r="Q2" s="188"/>
      <c r="R2" s="188"/>
      <c r="S2" s="188"/>
      <c r="T2" s="188"/>
      <c r="U2" s="188"/>
    </row>
    <row r="3" spans="1:21">
      <c r="A3" s="346" t="s">
        <v>7</v>
      </c>
      <c r="B3" s="188" t="s">
        <v>786</v>
      </c>
      <c r="C3" s="345"/>
      <c r="D3" s="188"/>
      <c r="E3" s="188"/>
      <c r="F3" s="188"/>
      <c r="G3" s="188"/>
      <c r="H3" s="188"/>
      <c r="I3" s="188"/>
      <c r="J3" s="188"/>
      <c r="K3" s="188"/>
      <c r="L3" s="188"/>
      <c r="M3" s="188"/>
      <c r="N3" s="188"/>
      <c r="O3" s="188"/>
      <c r="P3" s="188"/>
      <c r="Q3" s="188"/>
      <c r="R3" s="188"/>
      <c r="S3" s="188"/>
      <c r="T3" s="188"/>
      <c r="U3" s="188"/>
    </row>
    <row r="4" spans="1:21">
      <c r="A4" s="346" t="s">
        <v>9</v>
      </c>
      <c r="B4" s="188" t="s">
        <v>833</v>
      </c>
      <c r="C4" s="345"/>
      <c r="D4" s="188"/>
      <c r="E4" s="188"/>
      <c r="F4" s="188"/>
      <c r="G4" s="188"/>
      <c r="H4" s="188"/>
      <c r="I4" s="188"/>
      <c r="J4" s="188"/>
      <c r="K4" s="188"/>
      <c r="L4" s="188"/>
      <c r="M4" s="188"/>
      <c r="N4" s="188"/>
      <c r="O4" s="188"/>
      <c r="P4" s="188"/>
      <c r="Q4" s="188"/>
      <c r="R4" s="188"/>
      <c r="S4" s="188"/>
      <c r="T4" s="188"/>
      <c r="U4" s="188"/>
    </row>
    <row r="5" spans="1:21" ht="26.45">
      <c r="A5" s="346" t="s">
        <v>11</v>
      </c>
      <c r="B5" s="347" t="s">
        <v>834</v>
      </c>
      <c r="C5" s="188"/>
      <c r="D5" s="188"/>
      <c r="E5" s="188"/>
      <c r="F5" s="188"/>
      <c r="G5" s="188"/>
      <c r="H5" s="188"/>
      <c r="I5" s="188"/>
      <c r="J5" s="188"/>
      <c r="K5" s="188"/>
      <c r="L5" s="188"/>
      <c r="M5" s="188"/>
      <c r="N5" s="188"/>
      <c r="O5" s="188"/>
      <c r="P5" s="188"/>
      <c r="Q5" s="188"/>
      <c r="R5" s="188"/>
      <c r="S5" s="188"/>
      <c r="T5" s="188"/>
      <c r="U5" s="188"/>
    </row>
    <row r="6" spans="1:21">
      <c r="A6" s="346" t="s">
        <v>13</v>
      </c>
      <c r="B6" s="188" t="s">
        <v>14</v>
      </c>
      <c r="C6" s="188"/>
      <c r="D6" s="188"/>
      <c r="E6" s="188"/>
      <c r="F6" s="188"/>
      <c r="G6" s="188"/>
      <c r="H6" s="188"/>
      <c r="I6" s="188"/>
      <c r="J6" s="188"/>
      <c r="K6" s="188"/>
      <c r="L6" s="188"/>
      <c r="M6" s="188"/>
      <c r="N6" s="188"/>
      <c r="O6" s="188"/>
      <c r="P6" s="188"/>
      <c r="Q6" s="188"/>
      <c r="R6" s="188"/>
      <c r="S6" s="188"/>
      <c r="T6" s="188"/>
      <c r="U6" s="188"/>
    </row>
    <row r="7" spans="1:21">
      <c r="A7" s="346" t="s">
        <v>15</v>
      </c>
      <c r="B7" s="188">
        <v>1</v>
      </c>
      <c r="C7" s="188"/>
      <c r="D7" s="188"/>
      <c r="E7" s="188"/>
      <c r="F7" s="188"/>
      <c r="G7" s="188"/>
      <c r="H7" s="188"/>
      <c r="I7" s="188"/>
      <c r="J7" s="188"/>
      <c r="K7" s="188"/>
      <c r="L7" s="188"/>
      <c r="M7" s="188"/>
      <c r="N7" s="188"/>
      <c r="O7" s="188"/>
      <c r="P7" s="188"/>
      <c r="Q7" s="188"/>
      <c r="R7" s="188"/>
      <c r="S7" s="188"/>
      <c r="T7" s="188"/>
      <c r="U7" s="188"/>
    </row>
    <row r="8" spans="1:21">
      <c r="A8" s="346" t="s">
        <v>16</v>
      </c>
      <c r="B8" s="188" t="s">
        <v>17</v>
      </c>
      <c r="C8" s="188"/>
      <c r="D8" s="188"/>
      <c r="E8" s="188"/>
      <c r="F8" s="188"/>
      <c r="G8" s="188"/>
      <c r="H8" s="188"/>
      <c r="I8" s="188"/>
      <c r="J8" s="188"/>
      <c r="K8" s="188"/>
      <c r="L8" s="188"/>
      <c r="M8" s="188"/>
      <c r="N8" s="188"/>
      <c r="O8" s="188"/>
      <c r="P8" s="188"/>
      <c r="Q8" s="188"/>
      <c r="R8" s="188"/>
      <c r="S8" s="188"/>
      <c r="T8" s="188"/>
      <c r="U8" s="188"/>
    </row>
    <row r="9" spans="1:21">
      <c r="A9" s="346" t="s">
        <v>18</v>
      </c>
      <c r="B9" s="188" t="s">
        <v>18</v>
      </c>
      <c r="C9" s="188"/>
      <c r="D9" s="188"/>
      <c r="E9" s="188"/>
      <c r="F9" s="188"/>
      <c r="G9" s="188"/>
      <c r="H9" s="188"/>
      <c r="I9" s="188"/>
      <c r="J9" s="188"/>
      <c r="K9" s="188"/>
      <c r="L9" s="188"/>
      <c r="M9" s="188"/>
      <c r="N9" s="188"/>
      <c r="O9" s="188"/>
      <c r="P9" s="188"/>
      <c r="Q9" s="188"/>
      <c r="R9" s="188"/>
      <c r="S9" s="188"/>
      <c r="T9" s="188"/>
      <c r="U9" s="188"/>
    </row>
    <row r="10" spans="1:21">
      <c r="A10" s="343"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c r="U11" s="188"/>
    </row>
    <row r="12" spans="1:21">
      <c r="A12" s="371" t="s">
        <v>770</v>
      </c>
      <c r="B12" s="188">
        <v>1</v>
      </c>
      <c r="C12" s="188" t="s">
        <v>18</v>
      </c>
      <c r="D12" s="188" t="s">
        <v>2</v>
      </c>
      <c r="E12" s="188" t="s">
        <v>29</v>
      </c>
      <c r="F12" s="37" t="s">
        <v>14</v>
      </c>
      <c r="G12" s="188" t="s">
        <v>30</v>
      </c>
      <c r="H12" s="188">
        <v>1</v>
      </c>
      <c r="I12" s="188">
        <v>1</v>
      </c>
      <c r="J12" s="188" t="s">
        <v>31</v>
      </c>
      <c r="K12" s="188" t="s">
        <v>31</v>
      </c>
      <c r="L12" s="188" t="s">
        <v>31</v>
      </c>
      <c r="M12" s="188" t="s">
        <v>31</v>
      </c>
      <c r="N12" s="188"/>
      <c r="O12" s="188" t="s">
        <v>231</v>
      </c>
      <c r="P12" s="188"/>
      <c r="Q12" s="188"/>
      <c r="R12" s="188"/>
      <c r="S12" s="188"/>
      <c r="T12" s="188"/>
      <c r="U12" s="188"/>
    </row>
    <row r="13" spans="1:21">
      <c r="A13" s="395" t="s">
        <v>794</v>
      </c>
      <c r="B13" s="188">
        <v>7.7843999999999997E-2</v>
      </c>
      <c r="C13" s="188" t="s">
        <v>37</v>
      </c>
      <c r="D13" s="188" t="s">
        <v>2</v>
      </c>
      <c r="E13" s="188" t="s">
        <v>29</v>
      </c>
      <c r="F13" s="37" t="s">
        <v>14</v>
      </c>
      <c r="G13" s="188" t="s">
        <v>33</v>
      </c>
      <c r="H13" s="188">
        <v>1</v>
      </c>
      <c r="I13" s="188">
        <f>B13</f>
        <v>7.7843999999999997E-2</v>
      </c>
      <c r="J13" s="188" t="s">
        <v>31</v>
      </c>
      <c r="K13" s="188" t="s">
        <v>31</v>
      </c>
      <c r="L13" s="188" t="s">
        <v>31</v>
      </c>
      <c r="M13" s="188" t="s">
        <v>31</v>
      </c>
      <c r="N13" s="188"/>
      <c r="O13" s="188" t="s">
        <v>231</v>
      </c>
      <c r="P13" s="396" t="s">
        <v>580</v>
      </c>
      <c r="Q13" s="397">
        <v>78</v>
      </c>
      <c r="R13" s="188" t="str">
        <f>C13</f>
        <v>kilogram</v>
      </c>
      <c r="S13" s="188">
        <f>0.001*Q13</f>
        <v>7.8E-2</v>
      </c>
      <c r="T13" s="188"/>
      <c r="U13" s="188"/>
    </row>
    <row r="14" spans="1:21">
      <c r="A14" s="395" t="s">
        <v>819</v>
      </c>
      <c r="B14" s="188">
        <v>9.8095000000000002E-2</v>
      </c>
      <c r="C14" s="188" t="s">
        <v>37</v>
      </c>
      <c r="D14" s="188" t="s">
        <v>2</v>
      </c>
      <c r="E14" s="188" t="s">
        <v>29</v>
      </c>
      <c r="F14" s="37" t="s">
        <v>14</v>
      </c>
      <c r="G14" s="188" t="s">
        <v>33</v>
      </c>
      <c r="H14" s="188">
        <v>1</v>
      </c>
      <c r="I14" s="188">
        <f t="shared" ref="I14:I29" si="0">B14</f>
        <v>9.8095000000000002E-2</v>
      </c>
      <c r="J14" s="188" t="s">
        <v>31</v>
      </c>
      <c r="K14" s="188" t="s">
        <v>31</v>
      </c>
      <c r="L14" s="188" t="s">
        <v>31</v>
      </c>
      <c r="M14" s="188" t="s">
        <v>31</v>
      </c>
      <c r="N14" s="188"/>
      <c r="O14" s="188" t="s">
        <v>231</v>
      </c>
      <c r="P14" s="396" t="s">
        <v>580</v>
      </c>
      <c r="Q14" s="397">
        <v>98</v>
      </c>
      <c r="R14" s="188" t="str">
        <f t="shared" ref="R14:R27" si="1">C14</f>
        <v>kilogram</v>
      </c>
      <c r="S14" s="188">
        <f>0.001*Q14</f>
        <v>9.8000000000000004E-2</v>
      </c>
      <c r="T14" s="188"/>
      <c r="U14" s="188"/>
    </row>
    <row r="15" spans="1:21">
      <c r="A15" s="398" t="s">
        <v>835</v>
      </c>
      <c r="B15" s="188">
        <v>0.26748225000000003</v>
      </c>
      <c r="C15" s="188" t="s">
        <v>37</v>
      </c>
      <c r="D15" s="188" t="s">
        <v>40</v>
      </c>
      <c r="E15" s="188" t="s">
        <v>29</v>
      </c>
      <c r="F15" s="37" t="s">
        <v>59</v>
      </c>
      <c r="G15" s="188" t="s">
        <v>33</v>
      </c>
      <c r="H15" s="188">
        <v>1</v>
      </c>
      <c r="I15" s="188">
        <f t="shared" si="0"/>
        <v>0.26748225000000003</v>
      </c>
      <c r="J15" s="188" t="s">
        <v>31</v>
      </c>
      <c r="K15" s="188" t="s">
        <v>31</v>
      </c>
      <c r="L15" s="188" t="s">
        <v>31</v>
      </c>
      <c r="M15" s="188" t="s">
        <v>31</v>
      </c>
      <c r="N15" s="188"/>
      <c r="O15" s="188" t="s">
        <v>231</v>
      </c>
      <c r="P15" s="396" t="s">
        <v>241</v>
      </c>
      <c r="Q15" s="397">
        <v>0.1</v>
      </c>
      <c r="R15" s="188" t="str">
        <f t="shared" si="1"/>
        <v>kilogram</v>
      </c>
      <c r="S15" s="188">
        <f>Q15</f>
        <v>0.1</v>
      </c>
      <c r="T15" s="188"/>
      <c r="U15" s="188"/>
    </row>
    <row r="16" spans="1:21">
      <c r="A16" s="395" t="s">
        <v>836</v>
      </c>
      <c r="B16" s="188">
        <v>0.31379100000000004</v>
      </c>
      <c r="C16" s="188" t="s">
        <v>37</v>
      </c>
      <c r="D16" s="188" t="s">
        <v>2</v>
      </c>
      <c r="E16" s="188" t="s">
        <v>29</v>
      </c>
      <c r="F16" s="37" t="s">
        <v>14</v>
      </c>
      <c r="G16" s="188" t="s">
        <v>33</v>
      </c>
      <c r="H16" s="188">
        <v>1</v>
      </c>
      <c r="I16" s="188">
        <f t="shared" si="0"/>
        <v>0.31379100000000004</v>
      </c>
      <c r="J16" s="188" t="s">
        <v>31</v>
      </c>
      <c r="K16" s="188" t="s">
        <v>31</v>
      </c>
      <c r="L16" s="188" t="s">
        <v>31</v>
      </c>
      <c r="M16" s="188" t="s">
        <v>31</v>
      </c>
      <c r="N16" s="188"/>
      <c r="O16" s="188" t="s">
        <v>231</v>
      </c>
      <c r="P16" s="396" t="s">
        <v>241</v>
      </c>
      <c r="Q16" s="397">
        <v>0.9</v>
      </c>
      <c r="R16" s="188" t="str">
        <f t="shared" si="1"/>
        <v>kilogram</v>
      </c>
      <c r="S16" s="188">
        <f>Q16</f>
        <v>0.9</v>
      </c>
      <c r="T16" s="188"/>
      <c r="U16" s="188"/>
    </row>
    <row r="17" spans="1:21">
      <c r="A17" s="399" t="s">
        <v>837</v>
      </c>
      <c r="B17" s="188">
        <f>S17</f>
        <v>4.9000000000000002E-2</v>
      </c>
      <c r="C17" s="188" t="s">
        <v>609</v>
      </c>
      <c r="D17" s="188" t="s">
        <v>2</v>
      </c>
      <c r="E17" s="188" t="s">
        <v>29</v>
      </c>
      <c r="F17" s="37" t="s">
        <v>14</v>
      </c>
      <c r="G17" s="188" t="s">
        <v>33</v>
      </c>
      <c r="H17" s="188">
        <v>1</v>
      </c>
      <c r="I17" s="188">
        <f t="shared" si="0"/>
        <v>4.9000000000000002E-2</v>
      </c>
      <c r="J17" s="188" t="s">
        <v>31</v>
      </c>
      <c r="K17" s="188" t="s">
        <v>31</v>
      </c>
      <c r="L17" s="188" t="s">
        <v>31</v>
      </c>
      <c r="M17" s="188" t="s">
        <v>31</v>
      </c>
      <c r="N17" s="188"/>
      <c r="O17" s="188" t="s">
        <v>231</v>
      </c>
      <c r="P17" s="396" t="s">
        <v>580</v>
      </c>
      <c r="Q17" s="397">
        <v>245</v>
      </c>
      <c r="R17" s="188" t="str">
        <f t="shared" si="1"/>
        <v>square meter</v>
      </c>
      <c r="S17" s="188">
        <f>(Q17*0.001)*T17</f>
        <v>4.9000000000000002E-2</v>
      </c>
      <c r="T17" s="377">
        <f>'2A. Reusable'!O37</f>
        <v>0.2</v>
      </c>
      <c r="U17" s="377" t="s">
        <v>838</v>
      </c>
    </row>
    <row r="18" spans="1:21">
      <c r="A18" s="395" t="s">
        <v>839</v>
      </c>
      <c r="B18" s="188">
        <v>0.38606000000000001</v>
      </c>
      <c r="C18" s="188" t="s">
        <v>37</v>
      </c>
      <c r="D18" s="188" t="s">
        <v>2</v>
      </c>
      <c r="E18" s="188" t="s">
        <v>29</v>
      </c>
      <c r="F18" s="37" t="s">
        <v>14</v>
      </c>
      <c r="G18" s="188" t="s">
        <v>33</v>
      </c>
      <c r="H18" s="188">
        <v>1</v>
      </c>
      <c r="I18" s="188">
        <f t="shared" si="0"/>
        <v>0.38606000000000001</v>
      </c>
      <c r="J18" s="188" t="s">
        <v>31</v>
      </c>
      <c r="K18" s="188" t="s">
        <v>31</v>
      </c>
      <c r="L18" s="188" t="s">
        <v>31</v>
      </c>
      <c r="M18" s="188" t="s">
        <v>31</v>
      </c>
      <c r="N18" s="188"/>
      <c r="O18" s="188" t="s">
        <v>231</v>
      </c>
      <c r="P18" s="396" t="s">
        <v>580</v>
      </c>
      <c r="Q18" s="397">
        <v>507</v>
      </c>
      <c r="R18" s="188" t="str">
        <f t="shared" si="1"/>
        <v>kilogram</v>
      </c>
      <c r="S18" s="188">
        <f t="shared" ref="S18:S21" si="2">0.001*Q18</f>
        <v>0.50700000000000001</v>
      </c>
      <c r="T18" s="188"/>
      <c r="U18" s="188"/>
    </row>
    <row r="19" spans="1:21">
      <c r="A19" s="15" t="s">
        <v>840</v>
      </c>
      <c r="B19" s="188">
        <v>3.98E-3</v>
      </c>
      <c r="C19" s="188" t="s">
        <v>37</v>
      </c>
      <c r="D19" s="188" t="s">
        <v>40</v>
      </c>
      <c r="E19" s="188" t="s">
        <v>29</v>
      </c>
      <c r="F19" s="37" t="s">
        <v>35</v>
      </c>
      <c r="G19" s="188" t="s">
        <v>33</v>
      </c>
      <c r="H19" s="188">
        <v>1</v>
      </c>
      <c r="I19" s="188">
        <f t="shared" si="0"/>
        <v>3.98E-3</v>
      </c>
      <c r="J19" s="188" t="s">
        <v>31</v>
      </c>
      <c r="K19" s="188" t="s">
        <v>31</v>
      </c>
      <c r="L19" s="188" t="s">
        <v>31</v>
      </c>
      <c r="M19" s="188" t="s">
        <v>31</v>
      </c>
      <c r="N19" s="346" t="s">
        <v>841</v>
      </c>
      <c r="O19" s="188" t="s">
        <v>231</v>
      </c>
      <c r="P19" s="396" t="s">
        <v>580</v>
      </c>
      <c r="Q19" s="397">
        <v>3</v>
      </c>
      <c r="R19" s="188" t="str">
        <f t="shared" si="1"/>
        <v>kilogram</v>
      </c>
      <c r="S19" s="188">
        <f t="shared" si="2"/>
        <v>3.0000000000000001E-3</v>
      </c>
      <c r="T19" s="188"/>
      <c r="U19" s="188"/>
    </row>
    <row r="20" spans="1:21">
      <c r="A20" s="15" t="s">
        <v>179</v>
      </c>
      <c r="B20" s="188">
        <v>1.592E-2</v>
      </c>
      <c r="C20" s="188" t="s">
        <v>37</v>
      </c>
      <c r="D20" s="188" t="s">
        <v>40</v>
      </c>
      <c r="E20" s="188" t="s">
        <v>29</v>
      </c>
      <c r="F20" s="37" t="s">
        <v>35</v>
      </c>
      <c r="G20" s="188" t="s">
        <v>33</v>
      </c>
      <c r="H20" s="188">
        <v>1</v>
      </c>
      <c r="I20" s="188">
        <f t="shared" si="0"/>
        <v>1.592E-2</v>
      </c>
      <c r="J20" s="188" t="s">
        <v>31</v>
      </c>
      <c r="K20" s="188" t="s">
        <v>31</v>
      </c>
      <c r="L20" s="188" t="s">
        <v>31</v>
      </c>
      <c r="M20" s="188" t="s">
        <v>31</v>
      </c>
      <c r="N20" s="346" t="s">
        <v>842</v>
      </c>
      <c r="O20" s="188" t="s">
        <v>231</v>
      </c>
      <c r="P20" s="396" t="s">
        <v>580</v>
      </c>
      <c r="Q20" s="397">
        <v>16</v>
      </c>
      <c r="R20" s="188" t="str">
        <f t="shared" si="1"/>
        <v>kilogram</v>
      </c>
      <c r="S20" s="188">
        <f t="shared" si="2"/>
        <v>1.6E-2</v>
      </c>
      <c r="T20" s="188"/>
      <c r="U20" s="188"/>
    </row>
    <row r="21" spans="1:21">
      <c r="A21" s="15" t="s">
        <v>179</v>
      </c>
      <c r="B21" s="188">
        <v>2E-3</v>
      </c>
      <c r="C21" s="188" t="s">
        <v>37</v>
      </c>
      <c r="D21" s="188" t="s">
        <v>40</v>
      </c>
      <c r="E21" s="188" t="s">
        <v>29</v>
      </c>
      <c r="F21" s="37" t="s">
        <v>35</v>
      </c>
      <c r="G21" s="188" t="s">
        <v>33</v>
      </c>
      <c r="H21" s="188">
        <v>1</v>
      </c>
      <c r="I21" s="188">
        <f t="shared" si="0"/>
        <v>2E-3</v>
      </c>
      <c r="J21" s="188" t="s">
        <v>31</v>
      </c>
      <c r="K21" s="188" t="s">
        <v>31</v>
      </c>
      <c r="L21" s="188" t="s">
        <v>31</v>
      </c>
      <c r="M21" s="188" t="s">
        <v>31</v>
      </c>
      <c r="N21" s="96" t="s">
        <v>843</v>
      </c>
      <c r="O21" s="188" t="s">
        <v>231</v>
      </c>
      <c r="P21" s="396" t="s">
        <v>580</v>
      </c>
      <c r="Q21" s="397">
        <v>2</v>
      </c>
      <c r="R21" s="188" t="str">
        <f t="shared" si="1"/>
        <v>kilogram</v>
      </c>
      <c r="S21" s="188">
        <f t="shared" si="2"/>
        <v>2E-3</v>
      </c>
      <c r="T21" s="188"/>
      <c r="U21" s="188"/>
    </row>
    <row r="22" spans="1:21">
      <c r="A22" s="398" t="s">
        <v>844</v>
      </c>
      <c r="B22" s="188">
        <v>4.2345067071908438E-2</v>
      </c>
      <c r="C22" s="188" t="s">
        <v>37</v>
      </c>
      <c r="D22" s="188" t="s">
        <v>2</v>
      </c>
      <c r="E22" s="188" t="s">
        <v>29</v>
      </c>
      <c r="F22" s="37" t="s">
        <v>14</v>
      </c>
      <c r="G22" s="188" t="s">
        <v>33</v>
      </c>
      <c r="H22" s="188">
        <v>1</v>
      </c>
      <c r="I22" s="188">
        <f t="shared" si="0"/>
        <v>4.2345067071908438E-2</v>
      </c>
      <c r="J22" s="188" t="s">
        <v>31</v>
      </c>
      <c r="K22" s="188" t="s">
        <v>31</v>
      </c>
      <c r="L22" s="188" t="s">
        <v>31</v>
      </c>
      <c r="M22" s="188" t="s">
        <v>31</v>
      </c>
      <c r="N22" s="346"/>
      <c r="O22" s="188" t="s">
        <v>231</v>
      </c>
      <c r="P22" s="396" t="s">
        <v>241</v>
      </c>
      <c r="Q22" s="397">
        <v>0.04</v>
      </c>
      <c r="R22" s="188" t="str">
        <f t="shared" si="1"/>
        <v>kilogram</v>
      </c>
      <c r="S22" s="188">
        <f>Q22</f>
        <v>0.04</v>
      </c>
      <c r="T22" s="188"/>
      <c r="U22" s="188"/>
    </row>
    <row r="23" spans="1:21">
      <c r="A23" s="395" t="s">
        <v>845</v>
      </c>
      <c r="B23" s="358">
        <f>'2A. Machined casing'!B7</f>
        <v>3.15</v>
      </c>
      <c r="C23" s="188" t="s">
        <v>37</v>
      </c>
      <c r="D23" s="188" t="s">
        <v>2</v>
      </c>
      <c r="E23" s="188" t="s">
        <v>29</v>
      </c>
      <c r="F23" s="37" t="s">
        <v>14</v>
      </c>
      <c r="G23" s="188" t="s">
        <v>33</v>
      </c>
      <c r="H23" s="188">
        <v>1</v>
      </c>
      <c r="I23" s="188">
        <f t="shared" si="0"/>
        <v>3.15</v>
      </c>
      <c r="J23" s="188" t="s">
        <v>31</v>
      </c>
      <c r="K23" s="188" t="s">
        <v>31</v>
      </c>
      <c r="L23" s="188" t="s">
        <v>31</v>
      </c>
      <c r="M23" s="188" t="s">
        <v>31</v>
      </c>
      <c r="N23" s="346" t="s">
        <v>846</v>
      </c>
      <c r="O23" s="188" t="s">
        <v>231</v>
      </c>
      <c r="P23" s="400" t="s">
        <v>241</v>
      </c>
      <c r="Q23" s="397">
        <v>3.08</v>
      </c>
      <c r="R23" s="188" t="str">
        <f t="shared" si="1"/>
        <v>kilogram</v>
      </c>
      <c r="S23" s="188">
        <f>Q23</f>
        <v>3.08</v>
      </c>
      <c r="T23" s="188" t="s">
        <v>847</v>
      </c>
      <c r="U23" s="188"/>
    </row>
    <row r="24" spans="1:21">
      <c r="A24" s="15" t="s">
        <v>848</v>
      </c>
      <c r="B24" s="188">
        <v>6.79E-3</v>
      </c>
      <c r="C24" s="188" t="s">
        <v>37</v>
      </c>
      <c r="D24" s="188" t="s">
        <v>40</v>
      </c>
      <c r="E24" s="188" t="s">
        <v>29</v>
      </c>
      <c r="F24" s="37" t="s">
        <v>82</v>
      </c>
      <c r="G24" s="188" t="s">
        <v>33</v>
      </c>
      <c r="H24" s="188">
        <v>1</v>
      </c>
      <c r="I24" s="188">
        <f t="shared" si="0"/>
        <v>6.79E-3</v>
      </c>
      <c r="J24" s="188" t="s">
        <v>31</v>
      </c>
      <c r="K24" s="188" t="s">
        <v>31</v>
      </c>
      <c r="L24" s="188" t="s">
        <v>31</v>
      </c>
      <c r="M24" s="188" t="s">
        <v>31</v>
      </c>
      <c r="N24" s="346" t="s">
        <v>849</v>
      </c>
      <c r="O24" s="188" t="s">
        <v>231</v>
      </c>
      <c r="P24" s="401" t="s">
        <v>580</v>
      </c>
      <c r="Q24" s="402">
        <v>7</v>
      </c>
      <c r="R24" s="188" t="str">
        <f t="shared" si="1"/>
        <v>kilogram</v>
      </c>
      <c r="S24" s="188">
        <f t="shared" ref="S24:S26" si="3">0.001*Q24</f>
        <v>7.0000000000000001E-3</v>
      </c>
      <c r="T24" s="188"/>
      <c r="U24" s="188"/>
    </row>
    <row r="25" spans="1:21">
      <c r="A25" s="15" t="s">
        <v>850</v>
      </c>
      <c r="B25" s="188">
        <v>1.4550000000000001E-3</v>
      </c>
      <c r="C25" s="188" t="s">
        <v>37</v>
      </c>
      <c r="D25" s="188" t="s">
        <v>40</v>
      </c>
      <c r="E25" s="188" t="s">
        <v>29</v>
      </c>
      <c r="F25" s="37" t="s">
        <v>59</v>
      </c>
      <c r="G25" s="188" t="s">
        <v>33</v>
      </c>
      <c r="H25" s="188">
        <v>1</v>
      </c>
      <c r="I25" s="188">
        <f t="shared" si="0"/>
        <v>1.4550000000000001E-3</v>
      </c>
      <c r="J25" s="188" t="s">
        <v>31</v>
      </c>
      <c r="K25" s="188" t="s">
        <v>31</v>
      </c>
      <c r="L25" s="188" t="s">
        <v>31</v>
      </c>
      <c r="M25" s="188" t="s">
        <v>31</v>
      </c>
      <c r="N25" s="188" t="s">
        <v>851</v>
      </c>
      <c r="O25" s="188" t="s">
        <v>231</v>
      </c>
      <c r="P25" s="401" t="s">
        <v>580</v>
      </c>
      <c r="Q25" s="402">
        <v>1</v>
      </c>
      <c r="R25" s="188" t="str">
        <f t="shared" si="1"/>
        <v>kilogram</v>
      </c>
      <c r="S25" s="188">
        <f t="shared" si="3"/>
        <v>1E-3</v>
      </c>
      <c r="T25" s="188"/>
      <c r="U25" s="188"/>
    </row>
    <row r="26" spans="1:21">
      <c r="A26" s="15" t="s">
        <v>179</v>
      </c>
      <c r="B26" s="188">
        <v>1.4550000000000001E-3</v>
      </c>
      <c r="C26" s="188" t="s">
        <v>37</v>
      </c>
      <c r="D26" s="188" t="s">
        <v>40</v>
      </c>
      <c r="E26" s="188" t="s">
        <v>29</v>
      </c>
      <c r="F26" s="37" t="s">
        <v>35</v>
      </c>
      <c r="G26" s="188" t="s">
        <v>33</v>
      </c>
      <c r="H26" s="188">
        <v>1</v>
      </c>
      <c r="I26" s="188">
        <f t="shared" si="0"/>
        <v>1.4550000000000001E-3</v>
      </c>
      <c r="J26" s="188" t="s">
        <v>31</v>
      </c>
      <c r="K26" s="188" t="s">
        <v>31</v>
      </c>
      <c r="L26" s="188" t="s">
        <v>31</v>
      </c>
      <c r="M26" s="188" t="s">
        <v>31</v>
      </c>
      <c r="N26" s="188" t="s">
        <v>852</v>
      </c>
      <c r="O26" s="188" t="s">
        <v>231</v>
      </c>
      <c r="P26" s="401" t="s">
        <v>580</v>
      </c>
      <c r="Q26" s="402">
        <v>1</v>
      </c>
      <c r="R26" s="188" t="str">
        <f t="shared" si="1"/>
        <v>kilogram</v>
      </c>
      <c r="S26" s="188">
        <f t="shared" si="3"/>
        <v>1E-3</v>
      </c>
      <c r="T26" s="188"/>
      <c r="U26" s="188"/>
    </row>
    <row r="27" spans="1:21">
      <c r="A27" s="403" t="s">
        <v>269</v>
      </c>
      <c r="B27" s="188">
        <f>0.4+0.6</f>
        <v>1</v>
      </c>
      <c r="C27" s="188" t="s">
        <v>39</v>
      </c>
      <c r="D27" s="188" t="s">
        <v>40</v>
      </c>
      <c r="E27" s="188" t="s">
        <v>29</v>
      </c>
      <c r="F27" s="188" t="s">
        <v>14</v>
      </c>
      <c r="G27" s="188" t="s">
        <v>33</v>
      </c>
      <c r="H27" s="188">
        <v>1</v>
      </c>
      <c r="I27" s="188">
        <f t="shared" si="0"/>
        <v>1</v>
      </c>
      <c r="J27" s="188" t="s">
        <v>31</v>
      </c>
      <c r="K27" s="188" t="s">
        <v>31</v>
      </c>
      <c r="L27" s="188" t="s">
        <v>31</v>
      </c>
      <c r="M27" s="188" t="s">
        <v>31</v>
      </c>
      <c r="N27" s="188" t="s">
        <v>853</v>
      </c>
      <c r="O27" s="188" t="s">
        <v>231</v>
      </c>
      <c r="P27" s="400"/>
      <c r="Q27" s="397"/>
      <c r="R27" s="188" t="str">
        <f t="shared" si="1"/>
        <v>kilowatt hour</v>
      </c>
      <c r="S27" s="188"/>
      <c r="T27" s="188"/>
      <c r="U27" s="188"/>
    </row>
    <row r="28" spans="1:21">
      <c r="A28" s="403" t="s">
        <v>269</v>
      </c>
      <c r="B28" s="188">
        <v>1.4</v>
      </c>
      <c r="C28" s="188" t="s">
        <v>39</v>
      </c>
      <c r="D28" s="188" t="s">
        <v>40</v>
      </c>
      <c r="E28" s="188" t="s">
        <v>29</v>
      </c>
      <c r="F28" s="188" t="s">
        <v>14</v>
      </c>
      <c r="G28" s="188" t="s">
        <v>33</v>
      </c>
      <c r="H28" s="188">
        <v>1</v>
      </c>
      <c r="I28" s="188">
        <f t="shared" si="0"/>
        <v>1.4</v>
      </c>
      <c r="J28" s="188" t="s">
        <v>31</v>
      </c>
      <c r="K28" s="188" t="s">
        <v>31</v>
      </c>
      <c r="L28" s="188" t="s">
        <v>31</v>
      </c>
      <c r="M28" s="188" t="s">
        <v>31</v>
      </c>
      <c r="N28" s="188" t="s">
        <v>854</v>
      </c>
      <c r="O28" s="188" t="s">
        <v>231</v>
      </c>
      <c r="P28" s="188"/>
      <c r="Q28" s="188"/>
      <c r="R28" s="188"/>
      <c r="S28" s="188"/>
      <c r="T28" s="188"/>
      <c r="U28" s="188"/>
    </row>
    <row r="29" spans="1:21">
      <c r="A29" s="403" t="s">
        <v>269</v>
      </c>
      <c r="B29" s="188">
        <v>1.5</v>
      </c>
      <c r="C29" s="188" t="s">
        <v>39</v>
      </c>
      <c r="D29" s="188" t="s">
        <v>40</v>
      </c>
      <c r="E29" s="188" t="s">
        <v>29</v>
      </c>
      <c r="F29" s="188" t="s">
        <v>14</v>
      </c>
      <c r="G29" s="188" t="s">
        <v>33</v>
      </c>
      <c r="H29" s="188">
        <v>1</v>
      </c>
      <c r="I29" s="188">
        <f t="shared" si="0"/>
        <v>1.5</v>
      </c>
      <c r="J29" s="188" t="s">
        <v>31</v>
      </c>
      <c r="K29" s="188" t="s">
        <v>31</v>
      </c>
      <c r="L29" s="188" t="s">
        <v>31</v>
      </c>
      <c r="M29" s="188" t="s">
        <v>31</v>
      </c>
      <c r="N29" s="188" t="s">
        <v>855</v>
      </c>
      <c r="O29" s="188" t="s">
        <v>231</v>
      </c>
      <c r="P29" s="188"/>
      <c r="Q29" s="188"/>
      <c r="R29" s="188"/>
      <c r="S29" s="188"/>
      <c r="T29" s="188"/>
      <c r="U29" s="188"/>
    </row>
    <row r="30" spans="1:21" ht="15.6">
      <c r="A30" s="67"/>
      <c r="B30" s="68"/>
      <c r="C30" s="69"/>
      <c r="D30" s="70"/>
      <c r="E30" s="70"/>
      <c r="F30" s="70"/>
      <c r="G30" s="70"/>
      <c r="H30" s="70"/>
      <c r="I30" s="70"/>
      <c r="J30" s="70"/>
      <c r="K30" s="70"/>
      <c r="L30" s="70"/>
      <c r="M30" s="70"/>
      <c r="N30" s="188"/>
      <c r="O30" s="188" t="s">
        <v>856</v>
      </c>
    </row>
    <row r="31" spans="1:21">
      <c r="A31" s="71"/>
      <c r="C31" s="72"/>
      <c r="N31" s="188"/>
      <c r="O31" s="143">
        <f>SUM(B13:B26)-B17+0.245</f>
        <v>4.6122173170719076</v>
      </c>
    </row>
    <row r="32" spans="1:21">
      <c r="A32" s="71"/>
      <c r="C32" s="72"/>
    </row>
    <row r="33" spans="1:14">
      <c r="A33" s="71"/>
      <c r="B33" s="73"/>
    </row>
    <row r="35" spans="1:14">
      <c r="A35" s="71"/>
    </row>
    <row r="37" spans="1:14" ht="15.6">
      <c r="A37" s="59"/>
      <c r="B37" s="124"/>
      <c r="D37" s="17"/>
      <c r="F37" s="74"/>
    </row>
    <row r="38" spans="1:14" ht="15.6">
      <c r="A38" s="75"/>
    </row>
    <row r="39" spans="1:14" ht="15.6">
      <c r="A39" s="75"/>
      <c r="B39" s="16"/>
      <c r="C39" s="16"/>
      <c r="D39" s="16"/>
      <c r="E39" s="16"/>
      <c r="F39" s="16"/>
      <c r="G39" s="16"/>
      <c r="H39" s="16"/>
      <c r="I39" s="16"/>
      <c r="J39" s="16"/>
      <c r="K39" s="16"/>
      <c r="L39" s="16"/>
      <c r="M39" s="16"/>
      <c r="N39" s="16"/>
    </row>
    <row r="40" spans="1:14" ht="15.6">
      <c r="A40" s="76"/>
      <c r="D40" s="17"/>
      <c r="F40" s="74"/>
    </row>
    <row r="41" spans="1:14" ht="15.6">
      <c r="A41" s="76"/>
      <c r="D41" s="17"/>
      <c r="F41" s="74"/>
    </row>
    <row r="42" spans="1:14" ht="15.6">
      <c r="A42" s="76"/>
      <c r="D42" s="17"/>
      <c r="F42" s="74"/>
    </row>
    <row r="43" spans="1:14" ht="15.6">
      <c r="A43" s="76"/>
      <c r="D43" s="17"/>
      <c r="F43" s="74"/>
    </row>
    <row r="44" spans="1:14" ht="15.6">
      <c r="A44" s="76"/>
      <c r="D44" s="17"/>
      <c r="F44" s="74"/>
    </row>
    <row r="45" spans="1:14" ht="15.6">
      <c r="A45" s="76"/>
      <c r="D45" s="17"/>
      <c r="F45" s="74"/>
    </row>
    <row r="46" spans="1:14" ht="15.6">
      <c r="A46" s="76"/>
      <c r="D46" s="17"/>
      <c r="F46" s="74"/>
    </row>
    <row r="47" spans="1:14" ht="15.6">
      <c r="A47" s="76"/>
      <c r="D47" s="17"/>
      <c r="F47" s="74"/>
    </row>
    <row r="48" spans="1:14" ht="15.6">
      <c r="A48" s="76"/>
      <c r="D48" s="17"/>
      <c r="F48" s="74"/>
    </row>
    <row r="49" spans="1:6" ht="15.6">
      <c r="A49" s="76"/>
      <c r="D49" s="17"/>
      <c r="F49" s="74"/>
    </row>
    <row r="50" spans="1:6" ht="15.6">
      <c r="A50" s="76"/>
      <c r="D50" s="17"/>
      <c r="F50" s="74"/>
    </row>
    <row r="51" spans="1:6" ht="15.6">
      <c r="A51" s="76"/>
      <c r="D51" s="17"/>
      <c r="F51" s="74"/>
    </row>
    <row r="52" spans="1:6" ht="15.6">
      <c r="A52" s="76"/>
      <c r="D52" s="17"/>
      <c r="F52" s="74"/>
    </row>
    <row r="53" spans="1:6" ht="15.6">
      <c r="A53" s="76"/>
      <c r="D53" s="17"/>
      <c r="F53" s="74"/>
    </row>
    <row r="54" spans="1:6" ht="15.6">
      <c r="A54" s="17"/>
      <c r="D54" s="17"/>
      <c r="F54" s="74"/>
    </row>
    <row r="55" spans="1:6" ht="15.6">
      <c r="A55" s="17"/>
      <c r="D55" s="17"/>
    </row>
    <row r="56" spans="1:6" ht="15.6">
      <c r="A56" s="76"/>
      <c r="D56" s="17"/>
    </row>
  </sheetData>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A7A7F-7C53-4BA2-A65B-827207171F29}">
  <sheetPr>
    <tabColor theme="9"/>
  </sheetPr>
  <dimension ref="A1:T104"/>
  <sheetViews>
    <sheetView topLeftCell="A82" workbookViewId="0">
      <selection activeCell="A12" sqref="A12"/>
    </sheetView>
  </sheetViews>
  <sheetFormatPr defaultRowHeight="14.45"/>
  <cols>
    <col min="1" max="1" width="52.42578125" style="22" customWidth="1"/>
    <col min="2" max="2" width="17.5703125" customWidth="1"/>
    <col min="3" max="3" width="13.7109375" customWidth="1"/>
    <col min="4" max="4" width="39.85546875" customWidth="1"/>
    <col min="7" max="7" width="14.85546875" customWidth="1"/>
  </cols>
  <sheetData>
    <row r="1" spans="1:20">
      <c r="A1" s="188" t="s">
        <v>0</v>
      </c>
      <c r="B1" s="188">
        <v>13</v>
      </c>
      <c r="C1" s="188"/>
      <c r="D1" s="188"/>
      <c r="E1" s="188"/>
      <c r="F1" s="188"/>
      <c r="G1" s="188"/>
      <c r="H1" s="188"/>
      <c r="I1" s="188"/>
      <c r="J1" s="188"/>
      <c r="K1" s="188"/>
      <c r="L1" s="188"/>
      <c r="M1" s="188"/>
      <c r="N1" s="188"/>
      <c r="O1" s="188"/>
      <c r="P1" s="188"/>
      <c r="Q1" s="188"/>
      <c r="R1" s="188"/>
      <c r="S1" s="188"/>
      <c r="T1" s="188"/>
    </row>
    <row r="2" spans="1:20">
      <c r="A2" s="404" t="s">
        <v>5</v>
      </c>
      <c r="B2" s="405" t="s">
        <v>837</v>
      </c>
      <c r="C2" s="372"/>
      <c r="D2" s="353"/>
      <c r="E2" s="353"/>
      <c r="F2" s="353"/>
      <c r="G2" s="353"/>
      <c r="H2" s="353"/>
      <c r="I2" s="353"/>
      <c r="J2" s="353"/>
      <c r="K2" s="353"/>
      <c r="L2" s="353"/>
      <c r="M2" s="353"/>
      <c r="N2" s="353"/>
      <c r="O2" s="353"/>
      <c r="P2" s="353"/>
      <c r="Q2" s="353"/>
      <c r="R2" s="353"/>
      <c r="S2" s="188"/>
      <c r="T2" s="188"/>
    </row>
    <row r="3" spans="1:20">
      <c r="A3" s="406" t="s">
        <v>7</v>
      </c>
      <c r="B3" s="188" t="s">
        <v>786</v>
      </c>
      <c r="C3" s="345"/>
      <c r="D3" s="188"/>
      <c r="E3" s="188"/>
      <c r="F3" s="188"/>
      <c r="G3" s="188"/>
      <c r="H3" s="188"/>
      <c r="I3" s="188"/>
      <c r="J3" s="188"/>
      <c r="K3" s="188"/>
      <c r="L3" s="188"/>
      <c r="M3" s="188"/>
      <c r="N3" s="188"/>
      <c r="O3" s="188"/>
      <c r="P3" s="188"/>
      <c r="Q3" s="188"/>
      <c r="R3" s="188"/>
      <c r="S3" s="188"/>
      <c r="T3" s="188"/>
    </row>
    <row r="4" spans="1:20">
      <c r="A4" s="406" t="s">
        <v>9</v>
      </c>
      <c r="B4" s="188" t="s">
        <v>857</v>
      </c>
      <c r="C4" s="345"/>
      <c r="D4" s="188"/>
      <c r="E4" s="188"/>
      <c r="F4" s="188"/>
      <c r="G4" s="188"/>
      <c r="H4" s="188"/>
      <c r="I4" s="188"/>
      <c r="J4" s="188"/>
      <c r="K4" s="188"/>
      <c r="L4" s="188"/>
      <c r="M4" s="188"/>
      <c r="N4" s="188"/>
      <c r="O4" s="188"/>
      <c r="P4" s="188"/>
      <c r="Q4" s="188"/>
      <c r="R4" s="188"/>
      <c r="S4" s="188"/>
      <c r="T4" s="188"/>
    </row>
    <row r="5" spans="1:20" ht="12.75" customHeight="1">
      <c r="A5" s="406" t="s">
        <v>11</v>
      </c>
      <c r="B5" s="347" t="s">
        <v>796</v>
      </c>
      <c r="C5" s="188"/>
      <c r="D5" s="188"/>
      <c r="E5" s="188"/>
      <c r="F5" s="188"/>
      <c r="G5" s="188"/>
      <c r="H5" s="188"/>
      <c r="I5" s="188"/>
      <c r="J5" s="188"/>
      <c r="K5" s="188"/>
      <c r="L5" s="188"/>
      <c r="M5" s="188"/>
      <c r="N5" s="188"/>
      <c r="O5" s="188"/>
      <c r="P5" s="188"/>
      <c r="Q5" s="188"/>
      <c r="R5" s="188"/>
      <c r="S5" s="188"/>
      <c r="T5" s="188"/>
    </row>
    <row r="6" spans="1:20">
      <c r="A6" s="406" t="s">
        <v>13</v>
      </c>
      <c r="B6" s="188" t="s">
        <v>14</v>
      </c>
      <c r="C6" s="188"/>
      <c r="D6" s="188"/>
      <c r="E6" s="188"/>
      <c r="F6" s="188"/>
      <c r="G6" s="188"/>
      <c r="H6" s="188"/>
      <c r="I6" s="188"/>
      <c r="J6" s="188"/>
      <c r="K6" s="188"/>
      <c r="L6" s="188"/>
      <c r="M6" s="188"/>
      <c r="N6" s="188"/>
      <c r="O6" s="188"/>
      <c r="P6" s="188"/>
      <c r="Q6" s="188"/>
      <c r="R6" s="188"/>
      <c r="S6" s="188"/>
      <c r="T6" s="188"/>
    </row>
    <row r="7" spans="1:20">
      <c r="A7" s="406" t="s">
        <v>15</v>
      </c>
      <c r="B7" s="188">
        <f>B12</f>
        <v>4.0000000000000001E-3</v>
      </c>
      <c r="C7" s="188"/>
      <c r="D7" s="188"/>
      <c r="E7" s="188"/>
      <c r="F7" s="188"/>
      <c r="G7" s="188"/>
      <c r="H7" s="188"/>
      <c r="I7" s="188"/>
      <c r="J7" s="188"/>
      <c r="K7" s="188"/>
      <c r="L7" s="188"/>
      <c r="M7" s="188"/>
      <c r="N7" s="188"/>
      <c r="O7" s="188"/>
      <c r="P7" s="188"/>
      <c r="Q7" s="188"/>
      <c r="R7" s="188"/>
      <c r="S7" s="188"/>
      <c r="T7" s="188"/>
    </row>
    <row r="8" spans="1:20">
      <c r="A8" s="406" t="s">
        <v>16</v>
      </c>
      <c r="B8" s="188" t="s">
        <v>17</v>
      </c>
      <c r="C8" s="188"/>
      <c r="D8" s="188"/>
      <c r="E8" s="188"/>
      <c r="F8" s="188"/>
      <c r="G8" s="188"/>
      <c r="H8" s="188"/>
      <c r="I8" s="188"/>
      <c r="J8" s="188"/>
      <c r="K8" s="188"/>
      <c r="L8" s="188"/>
      <c r="M8" s="188"/>
      <c r="N8" s="188"/>
      <c r="O8" s="188"/>
      <c r="P8" s="188"/>
      <c r="Q8" s="188"/>
      <c r="R8" s="188"/>
      <c r="S8" s="188"/>
      <c r="T8" s="188"/>
    </row>
    <row r="9" spans="1:20">
      <c r="A9" s="406" t="s">
        <v>18</v>
      </c>
      <c r="B9" s="188" t="s">
        <v>609</v>
      </c>
      <c r="C9" s="188"/>
      <c r="D9" s="188"/>
      <c r="E9" s="188"/>
      <c r="F9" s="188"/>
      <c r="G9" s="188"/>
      <c r="H9" s="188"/>
      <c r="I9" s="188"/>
      <c r="J9" s="188"/>
      <c r="K9" s="188"/>
      <c r="L9" s="188"/>
      <c r="M9" s="188"/>
      <c r="N9" s="188"/>
      <c r="O9" s="188"/>
      <c r="P9" s="188"/>
      <c r="Q9" s="188"/>
      <c r="R9" s="188"/>
      <c r="S9" s="188"/>
      <c r="T9" s="188"/>
    </row>
    <row r="10" spans="1:20">
      <c r="A10" s="407" t="s">
        <v>19</v>
      </c>
      <c r="B10" s="188"/>
      <c r="C10" s="188"/>
      <c r="D10" s="188"/>
      <c r="E10" s="188"/>
      <c r="F10" s="188"/>
      <c r="G10" s="188"/>
      <c r="H10" s="188"/>
      <c r="I10" s="188"/>
      <c r="J10" s="188"/>
      <c r="K10" s="188"/>
      <c r="L10" s="188"/>
      <c r="M10" s="188"/>
      <c r="N10" s="188"/>
      <c r="O10" s="188"/>
      <c r="P10" s="188"/>
      <c r="Q10" s="188"/>
      <c r="R10" s="188"/>
      <c r="S10" s="188"/>
      <c r="T10" s="188"/>
    </row>
    <row r="11" spans="1:20">
      <c r="A11" s="407"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row>
    <row r="12" spans="1:20">
      <c r="A12" s="381" t="s">
        <v>837</v>
      </c>
      <c r="B12" s="188">
        <v>4.0000000000000001E-3</v>
      </c>
      <c r="C12" s="188" t="s">
        <v>609</v>
      </c>
      <c r="D12" s="408" t="s">
        <v>2</v>
      </c>
      <c r="E12" s="188" t="s">
        <v>29</v>
      </c>
      <c r="F12" s="37" t="s">
        <v>14</v>
      </c>
      <c r="G12" s="188" t="s">
        <v>30</v>
      </c>
      <c r="H12" s="188">
        <v>1</v>
      </c>
      <c r="I12" s="188">
        <f>B12</f>
        <v>4.0000000000000001E-3</v>
      </c>
      <c r="J12" s="188" t="s">
        <v>31</v>
      </c>
      <c r="K12" s="188" t="s">
        <v>31</v>
      </c>
      <c r="L12" s="188" t="s">
        <v>31</v>
      </c>
      <c r="M12" s="188" t="s">
        <v>31</v>
      </c>
      <c r="N12" s="188"/>
      <c r="O12" s="409"/>
      <c r="P12" s="410"/>
      <c r="Q12" s="188"/>
      <c r="R12" s="188"/>
      <c r="S12" s="188"/>
      <c r="T12" s="188"/>
    </row>
    <row r="13" spans="1:20">
      <c r="A13" s="381" t="s">
        <v>858</v>
      </c>
      <c r="B13" s="188">
        <v>4.0000000000000001E-3</v>
      </c>
      <c r="C13" s="188" t="s">
        <v>37</v>
      </c>
      <c r="D13" s="408" t="s">
        <v>2</v>
      </c>
      <c r="E13" s="188" t="s">
        <v>29</v>
      </c>
      <c r="F13" s="37" t="s">
        <v>14</v>
      </c>
      <c r="G13" s="188" t="s">
        <v>33</v>
      </c>
      <c r="H13" s="188">
        <v>1</v>
      </c>
      <c r="I13" s="188">
        <f t="shared" ref="I13:I14" si="0">B13</f>
        <v>4.0000000000000001E-3</v>
      </c>
      <c r="J13" s="188" t="s">
        <v>31</v>
      </c>
      <c r="K13" s="188" t="s">
        <v>31</v>
      </c>
      <c r="L13" s="188" t="s">
        <v>31</v>
      </c>
      <c r="M13" s="188" t="s">
        <v>31</v>
      </c>
      <c r="N13" s="188"/>
      <c r="O13" s="375" t="s">
        <v>610</v>
      </c>
      <c r="P13" s="188">
        <v>1E-3</v>
      </c>
      <c r="Q13" s="188">
        <f>O37</f>
        <v>0.2</v>
      </c>
      <c r="R13" s="188" t="s">
        <v>859</v>
      </c>
      <c r="S13" s="188">
        <f>P13/Q13</f>
        <v>5.0000000000000001E-3</v>
      </c>
      <c r="T13" s="188" t="s">
        <v>241</v>
      </c>
    </row>
    <row r="14" spans="1:20">
      <c r="A14" s="381" t="s">
        <v>860</v>
      </c>
      <c r="B14" s="188">
        <v>1E-3</v>
      </c>
      <c r="C14" s="188" t="s">
        <v>609</v>
      </c>
      <c r="D14" s="408" t="s">
        <v>2</v>
      </c>
      <c r="E14" s="188" t="s">
        <v>29</v>
      </c>
      <c r="F14" s="37" t="s">
        <v>14</v>
      </c>
      <c r="G14" s="188" t="s">
        <v>33</v>
      </c>
      <c r="H14" s="188">
        <v>1</v>
      </c>
      <c r="I14" s="188">
        <f t="shared" si="0"/>
        <v>1E-3</v>
      </c>
      <c r="J14" s="188" t="s">
        <v>31</v>
      </c>
      <c r="K14" s="188" t="s">
        <v>31</v>
      </c>
      <c r="L14" s="188" t="s">
        <v>31</v>
      </c>
      <c r="M14" s="188" t="s">
        <v>31</v>
      </c>
      <c r="N14" s="188"/>
      <c r="O14" s="188"/>
      <c r="P14" s="188"/>
      <c r="Q14" s="377"/>
      <c r="R14" s="411" t="s">
        <v>861</v>
      </c>
      <c r="S14" s="188"/>
      <c r="T14" s="188"/>
    </row>
    <row r="15" spans="1:20">
      <c r="A15" s="412" t="s">
        <v>799</v>
      </c>
      <c r="B15" s="188">
        <f>P15</f>
        <v>0.03</v>
      </c>
      <c r="C15" s="188" t="s">
        <v>37</v>
      </c>
      <c r="D15" s="188" t="s">
        <v>40</v>
      </c>
      <c r="E15" s="188" t="s">
        <v>29</v>
      </c>
      <c r="F15" s="37" t="s">
        <v>74</v>
      </c>
      <c r="G15" s="188" t="s">
        <v>33</v>
      </c>
      <c r="H15" s="188">
        <v>2</v>
      </c>
      <c r="I15" s="188">
        <f>LN(B15)</f>
        <v>-3.5065578973199818</v>
      </c>
      <c r="J15" s="413">
        <v>0.11236102527122109</v>
      </c>
      <c r="K15" s="188" t="s">
        <v>31</v>
      </c>
      <c r="L15" s="188" t="s">
        <v>31</v>
      </c>
      <c r="M15" s="188" t="s">
        <v>31</v>
      </c>
      <c r="N15" s="188"/>
      <c r="O15" s="401" t="s">
        <v>241</v>
      </c>
      <c r="P15" s="414">
        <v>0.03</v>
      </c>
      <c r="Q15" s="188"/>
      <c r="R15" s="188"/>
      <c r="S15" s="188"/>
      <c r="T15" s="188"/>
    </row>
    <row r="16" spans="1:20">
      <c r="A16" s="412" t="s">
        <v>862</v>
      </c>
      <c r="B16" s="415">
        <f>Q16</f>
        <v>1.6999999999999999E-9</v>
      </c>
      <c r="C16" s="188" t="s">
        <v>37</v>
      </c>
      <c r="D16" s="188" t="s">
        <v>40</v>
      </c>
      <c r="E16" s="188" t="s">
        <v>29</v>
      </c>
      <c r="F16" s="37" t="s">
        <v>59</v>
      </c>
      <c r="G16" s="188" t="s">
        <v>33</v>
      </c>
      <c r="H16" s="188">
        <v>2</v>
      </c>
      <c r="I16" s="188">
        <f t="shared" ref="I16:I17" si="1">LN(B16)</f>
        <v>-20.192637585884242</v>
      </c>
      <c r="J16" s="413">
        <v>0.11236102527122109</v>
      </c>
      <c r="K16" s="188" t="s">
        <v>31</v>
      </c>
      <c r="L16" s="188" t="s">
        <v>31</v>
      </c>
      <c r="M16" s="188" t="s">
        <v>31</v>
      </c>
      <c r="N16" s="188"/>
      <c r="O16" s="416" t="s">
        <v>538</v>
      </c>
      <c r="P16" s="417">
        <v>1.6999999999999999E-3</v>
      </c>
      <c r="Q16" s="415">
        <f>P16*10^(-6)</f>
        <v>1.6999999999999999E-9</v>
      </c>
      <c r="R16" s="188" t="s">
        <v>37</v>
      </c>
      <c r="S16" s="188"/>
      <c r="T16" s="188"/>
    </row>
    <row r="17" spans="1:20">
      <c r="A17" s="412" t="s">
        <v>76</v>
      </c>
      <c r="B17" s="188">
        <f>Q17</f>
        <v>2.9999999999999997E-5</v>
      </c>
      <c r="C17" s="188" t="s">
        <v>42</v>
      </c>
      <c r="D17" s="188" t="s">
        <v>40</v>
      </c>
      <c r="E17" s="188" t="s">
        <v>29</v>
      </c>
      <c r="F17" s="37" t="s">
        <v>74</v>
      </c>
      <c r="G17" s="188" t="s">
        <v>33</v>
      </c>
      <c r="H17" s="188">
        <v>2</v>
      </c>
      <c r="I17" s="188">
        <f t="shared" si="1"/>
        <v>-10.41431317630212</v>
      </c>
      <c r="J17" s="413">
        <v>0.11236102527122109</v>
      </c>
      <c r="K17" s="188" t="s">
        <v>31</v>
      </c>
      <c r="L17" s="188" t="s">
        <v>31</v>
      </c>
      <c r="M17" s="188" t="s">
        <v>31</v>
      </c>
      <c r="N17" s="188"/>
      <c r="O17" s="418" t="s">
        <v>863</v>
      </c>
      <c r="P17" s="419">
        <v>0.03</v>
      </c>
      <c r="Q17" s="188">
        <f>P17/1000</f>
        <v>2.9999999999999997E-5</v>
      </c>
      <c r="R17" s="188" t="s">
        <v>864</v>
      </c>
      <c r="S17" s="188"/>
      <c r="T17" s="188"/>
    </row>
    <row r="18" spans="1:20">
      <c r="A18" s="404" t="s">
        <v>5</v>
      </c>
      <c r="B18" s="405" t="s">
        <v>858</v>
      </c>
      <c r="C18" s="372"/>
      <c r="D18" s="353"/>
      <c r="E18" s="353"/>
      <c r="F18" s="353"/>
      <c r="G18" s="353"/>
      <c r="H18" s="353"/>
      <c r="I18" s="353"/>
      <c r="J18" s="353"/>
      <c r="K18" s="353"/>
      <c r="L18" s="353"/>
      <c r="M18" s="353"/>
      <c r="N18" s="353"/>
      <c r="O18" s="353"/>
      <c r="P18" s="353"/>
      <c r="Q18" s="353"/>
      <c r="R18" s="353"/>
      <c r="S18" s="188"/>
      <c r="T18" s="188"/>
    </row>
    <row r="19" spans="1:20">
      <c r="A19" s="406" t="s">
        <v>7</v>
      </c>
      <c r="B19" s="188" t="s">
        <v>786</v>
      </c>
      <c r="C19" s="345"/>
      <c r="D19" s="188"/>
      <c r="E19" s="188"/>
      <c r="F19" s="188"/>
      <c r="G19" s="188"/>
      <c r="H19" s="188"/>
      <c r="I19" s="188"/>
      <c r="J19" s="188"/>
      <c r="K19" s="188"/>
      <c r="L19" s="188"/>
      <c r="M19" s="188"/>
      <c r="N19" s="188"/>
      <c r="O19" s="188"/>
      <c r="P19" s="188"/>
      <c r="Q19" s="188"/>
      <c r="R19" s="188"/>
      <c r="S19" s="188"/>
      <c r="T19" s="188"/>
    </row>
    <row r="20" spans="1:20">
      <c r="A20" s="406" t="s">
        <v>9</v>
      </c>
      <c r="B20" s="188" t="s">
        <v>865</v>
      </c>
      <c r="C20" s="345"/>
      <c r="D20" s="188"/>
      <c r="E20" s="188"/>
      <c r="F20" s="188"/>
      <c r="G20" s="188"/>
      <c r="H20" s="188"/>
      <c r="I20" s="188"/>
      <c r="J20" s="188"/>
      <c r="K20" s="188"/>
      <c r="L20" s="188"/>
      <c r="M20" s="188"/>
      <c r="N20" s="188"/>
      <c r="O20" s="188"/>
      <c r="P20" s="188"/>
      <c r="Q20" s="188"/>
      <c r="R20" s="188"/>
      <c r="S20" s="188"/>
      <c r="T20" s="188"/>
    </row>
    <row r="21" spans="1:20" ht="10.5" customHeight="1">
      <c r="A21" s="406" t="s">
        <v>11</v>
      </c>
      <c r="B21" s="347" t="s">
        <v>796</v>
      </c>
      <c r="C21" s="188"/>
      <c r="D21" s="188"/>
      <c r="E21" s="188"/>
      <c r="F21" s="188"/>
      <c r="G21" s="188"/>
      <c r="H21" s="188"/>
      <c r="I21" s="188"/>
      <c r="J21" s="188"/>
      <c r="K21" s="188"/>
      <c r="L21" s="188"/>
      <c r="M21" s="188"/>
      <c r="N21" s="188"/>
      <c r="O21" s="188"/>
      <c r="P21" s="188"/>
      <c r="Q21" s="188"/>
      <c r="R21" s="188"/>
      <c r="S21" s="188"/>
      <c r="T21" s="188"/>
    </row>
    <row r="22" spans="1:20">
      <c r="A22" s="406" t="s">
        <v>13</v>
      </c>
      <c r="B22" s="188" t="s">
        <v>14</v>
      </c>
      <c r="C22" s="188"/>
      <c r="D22" s="188"/>
      <c r="E22" s="188"/>
      <c r="F22" s="188"/>
      <c r="G22" s="188"/>
      <c r="H22" s="188"/>
      <c r="I22" s="188"/>
      <c r="J22" s="188"/>
      <c r="K22" s="188"/>
      <c r="L22" s="188"/>
      <c r="M22" s="188"/>
      <c r="N22" s="188"/>
      <c r="O22" s="188"/>
      <c r="P22" s="188"/>
      <c r="Q22" s="188"/>
      <c r="R22" s="188"/>
      <c r="S22" s="188"/>
      <c r="T22" s="188"/>
    </row>
    <row r="23" spans="1:20">
      <c r="A23" s="406" t="s">
        <v>15</v>
      </c>
      <c r="B23" s="188">
        <f>B28</f>
        <v>5.0000000000000001E-3</v>
      </c>
      <c r="C23" s="188"/>
      <c r="D23" s="188"/>
      <c r="E23" s="188"/>
      <c r="F23" s="188"/>
      <c r="G23" s="188"/>
      <c r="H23" s="188"/>
      <c r="I23" s="188"/>
      <c r="J23" s="188"/>
      <c r="K23" s="188"/>
      <c r="L23" s="188"/>
      <c r="M23" s="188"/>
      <c r="N23" s="188"/>
      <c r="O23" s="188"/>
      <c r="P23" s="188"/>
      <c r="Q23" s="188"/>
      <c r="R23" s="188"/>
      <c r="S23" s="188"/>
      <c r="T23" s="188"/>
    </row>
    <row r="24" spans="1:20">
      <c r="A24" s="406" t="s">
        <v>16</v>
      </c>
      <c r="B24" s="188" t="s">
        <v>17</v>
      </c>
      <c r="C24" s="188"/>
      <c r="D24" s="188"/>
      <c r="E24" s="188"/>
      <c r="F24" s="188"/>
      <c r="G24" s="188"/>
      <c r="H24" s="188"/>
      <c r="I24" s="188"/>
      <c r="J24" s="188"/>
      <c r="K24" s="188"/>
      <c r="L24" s="188"/>
      <c r="M24" s="188"/>
      <c r="N24" s="188"/>
      <c r="O24" s="188"/>
      <c r="P24" s="188"/>
      <c r="Q24" s="188"/>
      <c r="R24" s="188"/>
      <c r="S24" s="188"/>
      <c r="T24" s="188"/>
    </row>
    <row r="25" spans="1:20">
      <c r="A25" s="406" t="s">
        <v>18</v>
      </c>
      <c r="B25" s="188" t="s">
        <v>37</v>
      </c>
      <c r="C25" s="188"/>
      <c r="D25" s="188"/>
      <c r="E25" s="188"/>
      <c r="F25" s="188"/>
      <c r="G25" s="188"/>
      <c r="H25" s="188"/>
      <c r="I25" s="188"/>
      <c r="J25" s="188"/>
      <c r="K25" s="188"/>
      <c r="L25" s="188"/>
      <c r="M25" s="188"/>
      <c r="N25" s="188"/>
      <c r="O25" s="188"/>
      <c r="P25" s="188"/>
      <c r="Q25" s="188"/>
      <c r="R25" s="188"/>
      <c r="S25" s="188"/>
      <c r="T25" s="188"/>
    </row>
    <row r="26" spans="1:20">
      <c r="A26" s="407" t="s">
        <v>19</v>
      </c>
      <c r="B26" s="188"/>
      <c r="C26" s="188"/>
      <c r="D26" s="188"/>
      <c r="E26" s="188"/>
      <c r="F26" s="188"/>
      <c r="G26" s="188"/>
      <c r="H26" s="188"/>
      <c r="I26" s="188"/>
      <c r="J26" s="188"/>
      <c r="K26" s="188"/>
      <c r="L26" s="188"/>
      <c r="M26" s="188"/>
      <c r="N26" s="188"/>
      <c r="O26" s="188"/>
      <c r="P26" s="188"/>
      <c r="Q26" s="188"/>
      <c r="R26" s="188"/>
      <c r="S26" s="188"/>
      <c r="T26" s="188"/>
    </row>
    <row r="27" spans="1:20">
      <c r="A27" s="407"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c r="O27" s="188"/>
      <c r="P27" s="188"/>
      <c r="Q27" s="188"/>
      <c r="R27" s="188"/>
      <c r="S27" s="188"/>
      <c r="T27" s="188"/>
    </row>
    <row r="28" spans="1:20">
      <c r="A28" s="381" t="s">
        <v>858</v>
      </c>
      <c r="B28" s="188">
        <v>5.0000000000000001E-3</v>
      </c>
      <c r="C28" s="188" t="s">
        <v>37</v>
      </c>
      <c r="D28" s="408" t="s">
        <v>2</v>
      </c>
      <c r="E28" s="188" t="s">
        <v>29</v>
      </c>
      <c r="F28" s="37" t="s">
        <v>14</v>
      </c>
      <c r="G28" s="188" t="s">
        <v>30</v>
      </c>
      <c r="H28" s="188">
        <v>1</v>
      </c>
      <c r="I28" s="188">
        <f>B28</f>
        <v>5.0000000000000001E-3</v>
      </c>
      <c r="J28" s="188" t="s">
        <v>31</v>
      </c>
      <c r="K28" s="188" t="s">
        <v>31</v>
      </c>
      <c r="L28" s="188" t="s">
        <v>31</v>
      </c>
      <c r="M28" s="188" t="s">
        <v>31</v>
      </c>
      <c r="N28" s="188"/>
      <c r="O28" s="188"/>
      <c r="P28" s="188"/>
      <c r="Q28" s="188"/>
      <c r="R28" s="188"/>
      <c r="S28" s="188"/>
      <c r="T28" s="188"/>
    </row>
    <row r="29" spans="1:20">
      <c r="A29" s="412" t="s">
        <v>862</v>
      </c>
      <c r="B29" s="415">
        <f>R29</f>
        <v>5.7000000000000002E-3</v>
      </c>
      <c r="C29" s="188" t="s">
        <v>37</v>
      </c>
      <c r="D29" s="188" t="s">
        <v>40</v>
      </c>
      <c r="E29" s="188" t="s">
        <v>29</v>
      </c>
      <c r="F29" s="37" t="s">
        <v>59</v>
      </c>
      <c r="G29" s="188" t="s">
        <v>33</v>
      </c>
      <c r="H29" s="188">
        <v>2</v>
      </c>
      <c r="I29" s="188">
        <f t="shared" ref="I29:I31" si="2">LN(B29)</f>
        <v>-5.1672891041416324</v>
      </c>
      <c r="J29" s="413">
        <v>0.11236102527122109</v>
      </c>
      <c r="K29" s="188" t="s">
        <v>31</v>
      </c>
      <c r="L29" s="188" t="s">
        <v>31</v>
      </c>
      <c r="M29" s="188" t="s">
        <v>31</v>
      </c>
      <c r="N29" s="188"/>
      <c r="O29" s="401" t="s">
        <v>580</v>
      </c>
      <c r="P29" s="414">
        <v>5.7</v>
      </c>
      <c r="Q29" s="188" t="s">
        <v>241</v>
      </c>
      <c r="R29" s="188">
        <f>P29*0.001</f>
        <v>5.7000000000000002E-3</v>
      </c>
      <c r="S29" s="188"/>
      <c r="T29" s="188"/>
    </row>
    <row r="30" spans="1:20">
      <c r="A30" s="406" t="s">
        <v>269</v>
      </c>
      <c r="B30" s="350">
        <f>P30</f>
        <v>0.02</v>
      </c>
      <c r="C30" s="188" t="s">
        <v>39</v>
      </c>
      <c r="D30" s="188" t="s">
        <v>40</v>
      </c>
      <c r="E30" s="188" t="s">
        <v>29</v>
      </c>
      <c r="F30" s="37" t="s">
        <v>59</v>
      </c>
      <c r="G30" s="188" t="s">
        <v>33</v>
      </c>
      <c r="H30" s="188">
        <v>2</v>
      </c>
      <c r="I30" s="188">
        <f t="shared" si="2"/>
        <v>-3.912023005428146</v>
      </c>
      <c r="J30" s="413">
        <v>0.11236102527122109</v>
      </c>
      <c r="K30" s="188" t="s">
        <v>31</v>
      </c>
      <c r="L30" s="188" t="s">
        <v>31</v>
      </c>
      <c r="M30" s="188" t="s">
        <v>31</v>
      </c>
      <c r="N30" s="188"/>
      <c r="O30" s="401" t="s">
        <v>248</v>
      </c>
      <c r="P30" s="414">
        <v>0.02</v>
      </c>
      <c r="Q30" s="188"/>
      <c r="R30" s="188"/>
      <c r="S30" s="188"/>
      <c r="T30" s="188"/>
    </row>
    <row r="31" spans="1:20">
      <c r="A31" s="412" t="s">
        <v>866</v>
      </c>
      <c r="B31" s="188">
        <f>R31</f>
        <v>2.9999999999999997E-4</v>
      </c>
      <c r="C31" s="188" t="s">
        <v>37</v>
      </c>
      <c r="D31" s="188" t="s">
        <v>43</v>
      </c>
      <c r="E31" s="188" t="s">
        <v>867</v>
      </c>
      <c r="F31" s="37" t="s">
        <v>29</v>
      </c>
      <c r="G31" s="188" t="s">
        <v>45</v>
      </c>
      <c r="H31" s="188">
        <v>2</v>
      </c>
      <c r="I31" s="188">
        <f t="shared" si="2"/>
        <v>-8.1117280833080727</v>
      </c>
      <c r="J31" s="413">
        <v>0.11236102527122109</v>
      </c>
      <c r="K31" s="188" t="s">
        <v>31</v>
      </c>
      <c r="L31" s="188" t="s">
        <v>31</v>
      </c>
      <c r="M31" s="188" t="s">
        <v>31</v>
      </c>
      <c r="N31" s="188"/>
      <c r="O31" s="418" t="s">
        <v>580</v>
      </c>
      <c r="P31" s="419">
        <v>0.3</v>
      </c>
      <c r="Q31" s="188" t="s">
        <v>241</v>
      </c>
      <c r="R31" s="188">
        <f>P31*0.001</f>
        <v>2.9999999999999997E-4</v>
      </c>
      <c r="S31" s="188"/>
      <c r="T31" s="188"/>
    </row>
    <row r="32" spans="1:20">
      <c r="A32" s="404" t="s">
        <v>5</v>
      </c>
      <c r="B32" s="371" t="s">
        <v>860</v>
      </c>
      <c r="C32" s="372"/>
      <c r="D32" s="353"/>
      <c r="E32" s="353"/>
      <c r="F32" s="353"/>
      <c r="G32" s="353"/>
      <c r="H32" s="353"/>
      <c r="I32" s="353"/>
      <c r="J32" s="353"/>
      <c r="K32" s="353"/>
      <c r="L32" s="353"/>
      <c r="M32" s="353"/>
      <c r="N32" s="353"/>
      <c r="O32" s="353"/>
      <c r="P32" s="353"/>
      <c r="Q32" s="353"/>
      <c r="R32" s="353"/>
      <c r="S32" s="188"/>
      <c r="T32" s="188"/>
    </row>
    <row r="33" spans="1:20">
      <c r="A33" s="406" t="s">
        <v>7</v>
      </c>
      <c r="B33" s="188" t="s">
        <v>786</v>
      </c>
      <c r="C33" s="345"/>
      <c r="D33" s="188"/>
      <c r="E33" s="188"/>
      <c r="F33" s="188"/>
      <c r="G33" s="188"/>
      <c r="H33" s="188"/>
      <c r="I33" s="188"/>
      <c r="J33" s="188"/>
      <c r="K33" s="188"/>
      <c r="L33" s="188"/>
      <c r="M33" s="188"/>
      <c r="N33" s="188"/>
      <c r="O33" s="188"/>
      <c r="P33" s="188"/>
      <c r="Q33" s="188"/>
      <c r="R33" s="188"/>
      <c r="S33" s="188"/>
      <c r="T33" s="188"/>
    </row>
    <row r="34" spans="1:20">
      <c r="A34" s="406" t="s">
        <v>9</v>
      </c>
      <c r="B34" s="188" t="s">
        <v>868</v>
      </c>
      <c r="C34" s="345"/>
      <c r="D34" s="188"/>
      <c r="E34" s="188"/>
      <c r="F34" s="188"/>
      <c r="G34" s="188"/>
      <c r="H34" s="188"/>
      <c r="I34" s="188"/>
      <c r="J34" s="188"/>
      <c r="K34" s="188"/>
      <c r="L34" s="188"/>
      <c r="M34" s="188"/>
      <c r="N34" s="188"/>
      <c r="O34" s="188"/>
      <c r="P34" s="188"/>
      <c r="Q34" s="188"/>
      <c r="R34" s="188"/>
      <c r="S34" s="188"/>
      <c r="T34" s="188"/>
    </row>
    <row r="35" spans="1:20" ht="15.75" customHeight="1">
      <c r="A35" s="406" t="s">
        <v>11</v>
      </c>
      <c r="B35" s="347" t="s">
        <v>796</v>
      </c>
      <c r="C35" s="188"/>
      <c r="D35" s="188"/>
      <c r="E35" s="188"/>
      <c r="F35" s="188"/>
      <c r="G35" s="188"/>
      <c r="H35" s="188"/>
      <c r="I35" s="188"/>
      <c r="J35" s="188"/>
      <c r="K35" s="188"/>
      <c r="L35" s="188"/>
      <c r="M35" s="188"/>
      <c r="N35" s="188"/>
      <c r="O35" s="188"/>
      <c r="P35" s="188"/>
      <c r="Q35" s="188"/>
      <c r="R35" s="188"/>
      <c r="S35" s="188"/>
      <c r="T35" s="188"/>
    </row>
    <row r="36" spans="1:20">
      <c r="A36" s="406" t="s">
        <v>13</v>
      </c>
      <c r="B36" s="188" t="s">
        <v>14</v>
      </c>
      <c r="C36" s="188"/>
      <c r="D36" s="188"/>
      <c r="E36" s="188"/>
      <c r="F36" s="188"/>
      <c r="G36" s="188"/>
      <c r="H36" s="188"/>
      <c r="I36" s="188"/>
      <c r="J36" s="188"/>
      <c r="K36" s="188"/>
      <c r="L36" s="188"/>
      <c r="M36" s="188"/>
      <c r="N36" s="188"/>
      <c r="O36" s="389" t="s">
        <v>869</v>
      </c>
      <c r="P36" s="188"/>
      <c r="Q36" s="188"/>
      <c r="R36" s="188"/>
      <c r="S36" s="188"/>
      <c r="T36" s="188"/>
    </row>
    <row r="37" spans="1:20">
      <c r="A37" s="406" t="s">
        <v>15</v>
      </c>
      <c r="B37" s="188">
        <f>B42</f>
        <v>0.05</v>
      </c>
      <c r="C37" s="188"/>
      <c r="D37" s="188"/>
      <c r="E37" s="188"/>
      <c r="F37" s="188"/>
      <c r="G37" s="188"/>
      <c r="H37" s="188"/>
      <c r="I37" s="188"/>
      <c r="J37" s="188"/>
      <c r="K37" s="188"/>
      <c r="L37" s="188"/>
      <c r="M37" s="188"/>
      <c r="N37" s="188"/>
      <c r="O37" s="188">
        <f>0.05/0.25</f>
        <v>0.2</v>
      </c>
      <c r="P37" s="188" t="s">
        <v>838</v>
      </c>
      <c r="Q37" s="188"/>
      <c r="R37" s="188"/>
      <c r="S37" s="188"/>
      <c r="T37" s="188"/>
    </row>
    <row r="38" spans="1:20">
      <c r="A38" s="406" t="s">
        <v>16</v>
      </c>
      <c r="B38" s="188" t="s">
        <v>17</v>
      </c>
      <c r="C38" s="188"/>
      <c r="D38" s="188"/>
      <c r="E38" s="188"/>
      <c r="F38" s="188"/>
      <c r="G38" s="188"/>
      <c r="H38" s="188"/>
      <c r="I38" s="188"/>
      <c r="J38" s="188"/>
      <c r="K38" s="188"/>
      <c r="L38" s="188"/>
      <c r="M38" s="188"/>
      <c r="N38" s="188"/>
      <c r="O38" s="188"/>
      <c r="P38" s="188"/>
      <c r="Q38" s="188"/>
      <c r="R38" s="188"/>
      <c r="S38" s="188"/>
      <c r="T38" s="188"/>
    </row>
    <row r="39" spans="1:20">
      <c r="A39" s="406" t="s">
        <v>18</v>
      </c>
      <c r="B39" s="188" t="s">
        <v>609</v>
      </c>
      <c r="C39" s="188"/>
      <c r="D39" s="188"/>
      <c r="E39" s="188"/>
      <c r="F39" s="188"/>
      <c r="G39" s="188"/>
      <c r="H39" s="188"/>
      <c r="I39" s="188"/>
      <c r="J39" s="188"/>
      <c r="K39" s="188"/>
      <c r="L39" s="188"/>
      <c r="M39" s="188"/>
      <c r="N39" s="188"/>
      <c r="O39" s="188"/>
      <c r="P39" s="188"/>
      <c r="Q39" s="188"/>
      <c r="R39" s="188"/>
      <c r="S39" s="188"/>
      <c r="T39" s="188"/>
    </row>
    <row r="40" spans="1:20">
      <c r="A40" s="407" t="s">
        <v>19</v>
      </c>
      <c r="B40" s="188"/>
      <c r="C40" s="188"/>
      <c r="D40" s="188"/>
      <c r="E40" s="188"/>
      <c r="F40" s="188"/>
      <c r="G40" s="188"/>
      <c r="H40" s="188"/>
      <c r="I40" s="188"/>
      <c r="J40" s="188"/>
      <c r="K40" s="188"/>
      <c r="L40" s="188"/>
      <c r="M40" s="188"/>
      <c r="N40" s="188"/>
      <c r="O40" s="188"/>
      <c r="P40" s="188"/>
      <c r="Q40" s="188"/>
      <c r="R40" s="188"/>
      <c r="S40" s="188"/>
      <c r="T40" s="188"/>
    </row>
    <row r="41" spans="1:20">
      <c r="A41" s="407" t="s">
        <v>20</v>
      </c>
      <c r="B41" s="344" t="s">
        <v>21</v>
      </c>
      <c r="C41" s="344" t="s">
        <v>18</v>
      </c>
      <c r="D41" s="344" t="s">
        <v>22</v>
      </c>
      <c r="E41" s="344" t="s">
        <v>7</v>
      </c>
      <c r="F41" s="344" t="s">
        <v>13</v>
      </c>
      <c r="G41" s="344" t="s">
        <v>16</v>
      </c>
      <c r="H41" s="344" t="s">
        <v>23</v>
      </c>
      <c r="I41" s="344" t="s">
        <v>24</v>
      </c>
      <c r="J41" s="344" t="s">
        <v>25</v>
      </c>
      <c r="K41" s="344" t="s">
        <v>26</v>
      </c>
      <c r="L41" s="344" t="s">
        <v>27</v>
      </c>
      <c r="M41" s="344" t="s">
        <v>28</v>
      </c>
      <c r="N41" s="344" t="s">
        <v>11</v>
      </c>
      <c r="O41" s="188"/>
      <c r="P41" s="188"/>
      <c r="Q41" s="188"/>
      <c r="R41" s="188"/>
      <c r="S41" s="188"/>
      <c r="T41" s="188"/>
    </row>
    <row r="42" spans="1:20">
      <c r="A42" s="381" t="s">
        <v>860</v>
      </c>
      <c r="B42" s="188">
        <v>0.05</v>
      </c>
      <c r="C42" s="188" t="s">
        <v>609</v>
      </c>
      <c r="D42" s="408" t="s">
        <v>2</v>
      </c>
      <c r="E42" s="188" t="s">
        <v>29</v>
      </c>
      <c r="F42" s="37" t="s">
        <v>14</v>
      </c>
      <c r="G42" s="188" t="s">
        <v>30</v>
      </c>
      <c r="H42" s="188">
        <v>1</v>
      </c>
      <c r="I42" s="188">
        <f t="shared" ref="I42:I43" si="3">B42</f>
        <v>0.05</v>
      </c>
      <c r="J42" s="188" t="s">
        <v>31</v>
      </c>
      <c r="K42" s="188" t="s">
        <v>31</v>
      </c>
      <c r="L42" s="188" t="s">
        <v>31</v>
      </c>
      <c r="M42" s="188" t="s">
        <v>31</v>
      </c>
      <c r="N42" s="188"/>
      <c r="O42" s="188"/>
      <c r="P42" s="188"/>
      <c r="Q42" s="188"/>
      <c r="R42" s="188"/>
      <c r="S42" s="188"/>
      <c r="T42" s="188"/>
    </row>
    <row r="43" spans="1:20">
      <c r="A43" s="381" t="s">
        <v>870</v>
      </c>
      <c r="B43" s="420">
        <f>B68</f>
        <v>0.25</v>
      </c>
      <c r="C43" s="188" t="s">
        <v>37</v>
      </c>
      <c r="D43" s="408" t="s">
        <v>2</v>
      </c>
      <c r="E43" s="188" t="s">
        <v>29</v>
      </c>
      <c r="F43" s="37" t="s">
        <v>14</v>
      </c>
      <c r="G43" s="188" t="s">
        <v>33</v>
      </c>
      <c r="H43" s="188">
        <v>1</v>
      </c>
      <c r="I43" s="188">
        <f t="shared" si="3"/>
        <v>0.25</v>
      </c>
      <c r="J43" s="188" t="s">
        <v>31</v>
      </c>
      <c r="K43" s="188" t="s">
        <v>31</v>
      </c>
      <c r="L43" s="188" t="s">
        <v>31</v>
      </c>
      <c r="M43" s="188" t="s">
        <v>31</v>
      </c>
      <c r="N43" s="188"/>
      <c r="O43" s="401"/>
      <c r="P43" s="414"/>
      <c r="Q43" s="188"/>
      <c r="R43" s="188"/>
      <c r="S43" s="188"/>
      <c r="T43" s="188"/>
    </row>
    <row r="44" spans="1:20">
      <c r="A44" s="406" t="s">
        <v>269</v>
      </c>
      <c r="B44" s="350">
        <f>P44</f>
        <v>0.09</v>
      </c>
      <c r="C44" s="188" t="s">
        <v>39</v>
      </c>
      <c r="D44" s="188" t="s">
        <v>40</v>
      </c>
      <c r="E44" s="188" t="s">
        <v>29</v>
      </c>
      <c r="F44" s="37" t="s">
        <v>59</v>
      </c>
      <c r="G44" s="188" t="s">
        <v>33</v>
      </c>
      <c r="H44" s="188">
        <v>2</v>
      </c>
      <c r="I44" s="188">
        <f t="shared" ref="I44" si="4">LN(B44)</f>
        <v>-2.4079456086518722</v>
      </c>
      <c r="J44" s="413">
        <v>7.2284161474004766E-2</v>
      </c>
      <c r="K44" s="188" t="s">
        <v>31</v>
      </c>
      <c r="L44" s="188" t="s">
        <v>31</v>
      </c>
      <c r="M44" s="188" t="s">
        <v>31</v>
      </c>
      <c r="N44" s="188"/>
      <c r="O44" s="401" t="s">
        <v>248</v>
      </c>
      <c r="P44" s="414">
        <v>0.09</v>
      </c>
      <c r="Q44" s="188"/>
      <c r="R44" s="188"/>
      <c r="S44" s="188"/>
      <c r="T44" s="188"/>
    </row>
    <row r="45" spans="1:20">
      <c r="A45" s="412" t="s">
        <v>310</v>
      </c>
      <c r="B45" s="188">
        <f>R45</f>
        <v>2E-3</v>
      </c>
      <c r="C45" s="188" t="s">
        <v>37</v>
      </c>
      <c r="D45" s="188" t="s">
        <v>40</v>
      </c>
      <c r="E45" s="188" t="s">
        <v>29</v>
      </c>
      <c r="F45" s="37" t="s">
        <v>59</v>
      </c>
      <c r="G45" s="188" t="s">
        <v>33</v>
      </c>
      <c r="H45" s="188">
        <v>2</v>
      </c>
      <c r="I45" s="188">
        <f>LN(B45)</f>
        <v>-6.2146080984221914</v>
      </c>
      <c r="J45" s="413">
        <v>7.2284161474004766E-2</v>
      </c>
      <c r="K45" s="188" t="s">
        <v>31</v>
      </c>
      <c r="L45" s="188" t="s">
        <v>31</v>
      </c>
      <c r="M45" s="188" t="s">
        <v>31</v>
      </c>
      <c r="N45" s="188"/>
      <c r="O45" s="401" t="s">
        <v>580</v>
      </c>
      <c r="P45" s="414">
        <v>2</v>
      </c>
      <c r="Q45" s="188" t="s">
        <v>241</v>
      </c>
      <c r="R45" s="188">
        <f>P45*0.001</f>
        <v>2E-3</v>
      </c>
      <c r="S45" s="188"/>
      <c r="T45" s="188"/>
    </row>
    <row r="46" spans="1:20">
      <c r="A46" s="412" t="s">
        <v>871</v>
      </c>
      <c r="B46" s="188">
        <f>R46</f>
        <v>4.0000000000000001E-3</v>
      </c>
      <c r="C46" s="188" t="s">
        <v>37</v>
      </c>
      <c r="D46" s="188" t="s">
        <v>40</v>
      </c>
      <c r="E46" s="188" t="s">
        <v>29</v>
      </c>
      <c r="F46" s="37" t="s">
        <v>35</v>
      </c>
      <c r="G46" s="188" t="s">
        <v>33</v>
      </c>
      <c r="H46" s="188">
        <v>2</v>
      </c>
      <c r="I46" s="188">
        <f>LN(B46)</f>
        <v>-5.521460917862246</v>
      </c>
      <c r="J46" s="413">
        <v>7.2284161474004766E-2</v>
      </c>
      <c r="K46" s="188" t="s">
        <v>31</v>
      </c>
      <c r="L46" s="188" t="s">
        <v>31</v>
      </c>
      <c r="M46" s="188" t="s">
        <v>31</v>
      </c>
      <c r="N46" s="188"/>
      <c r="O46" s="401" t="s">
        <v>580</v>
      </c>
      <c r="P46" s="414">
        <v>4</v>
      </c>
      <c r="Q46" s="188" t="s">
        <v>241</v>
      </c>
      <c r="R46" s="188">
        <f>P46*0.001</f>
        <v>4.0000000000000001E-3</v>
      </c>
      <c r="S46" s="188"/>
      <c r="T46" s="188"/>
    </row>
    <row r="47" spans="1:20">
      <c r="A47" s="412" t="s">
        <v>799</v>
      </c>
      <c r="B47" s="188">
        <f>P47</f>
        <v>3.4</v>
      </c>
      <c r="C47" s="188" t="s">
        <v>37</v>
      </c>
      <c r="D47" s="188" t="s">
        <v>40</v>
      </c>
      <c r="E47" s="188" t="s">
        <v>29</v>
      </c>
      <c r="F47" s="37" t="s">
        <v>74</v>
      </c>
      <c r="G47" s="188" t="s">
        <v>33</v>
      </c>
      <c r="H47" s="188">
        <v>2</v>
      </c>
      <c r="I47" s="188">
        <f>LN(B47)</f>
        <v>1.2237754316221157</v>
      </c>
      <c r="J47" s="413">
        <v>7.2284161474004766E-2</v>
      </c>
      <c r="K47" s="188" t="s">
        <v>31</v>
      </c>
      <c r="L47" s="188" t="s">
        <v>31</v>
      </c>
      <c r="M47" s="188" t="s">
        <v>31</v>
      </c>
      <c r="N47" s="188"/>
      <c r="O47" s="401" t="s">
        <v>241</v>
      </c>
      <c r="P47" s="414">
        <v>3.4</v>
      </c>
      <c r="Q47" s="188"/>
      <c r="R47" s="188"/>
      <c r="S47" s="188"/>
      <c r="T47" s="188"/>
    </row>
    <row r="48" spans="1:20">
      <c r="A48" s="412" t="s">
        <v>76</v>
      </c>
      <c r="B48" s="188">
        <f>R48</f>
        <v>3.3999999999999998E-3</v>
      </c>
      <c r="C48" s="188" t="s">
        <v>42</v>
      </c>
      <c r="D48" s="188" t="s">
        <v>40</v>
      </c>
      <c r="E48" s="188" t="s">
        <v>29</v>
      </c>
      <c r="F48" s="37" t="s">
        <v>74</v>
      </c>
      <c r="G48" s="188" t="s">
        <v>33</v>
      </c>
      <c r="H48" s="188">
        <v>2</v>
      </c>
      <c r="I48" s="188">
        <f t="shared" ref="I48" si="5">LN(B48)</f>
        <v>-5.6839798473600212</v>
      </c>
      <c r="J48" s="413">
        <v>7.2284161474004766E-2</v>
      </c>
      <c r="K48" s="188" t="s">
        <v>31</v>
      </c>
      <c r="L48" s="188" t="s">
        <v>31</v>
      </c>
      <c r="M48" s="188" t="s">
        <v>31</v>
      </c>
      <c r="N48" s="188"/>
      <c r="O48" s="418" t="s">
        <v>863</v>
      </c>
      <c r="P48" s="419">
        <v>3.4</v>
      </c>
      <c r="Q48" s="188" t="s">
        <v>251</v>
      </c>
      <c r="R48" s="188">
        <f>P48/1000</f>
        <v>3.3999999999999998E-3</v>
      </c>
      <c r="S48" s="188"/>
      <c r="T48" s="188"/>
    </row>
    <row r="49" spans="1:20">
      <c r="A49" s="404" t="s">
        <v>5</v>
      </c>
      <c r="B49" s="371" t="s">
        <v>872</v>
      </c>
      <c r="C49" s="372"/>
      <c r="D49" s="353"/>
      <c r="E49" s="353"/>
      <c r="F49" s="353"/>
      <c r="G49" s="353"/>
      <c r="H49" s="353"/>
      <c r="I49" s="353"/>
      <c r="J49" s="353"/>
      <c r="K49" s="353"/>
      <c r="L49" s="353"/>
      <c r="M49" s="353"/>
      <c r="N49" s="353"/>
      <c r="O49" s="353"/>
      <c r="P49" s="353"/>
      <c r="Q49" s="353"/>
      <c r="R49" s="353"/>
      <c r="S49" s="188"/>
      <c r="T49" s="188"/>
    </row>
    <row r="50" spans="1:20">
      <c r="A50" s="406" t="s">
        <v>7</v>
      </c>
      <c r="B50" s="188" t="s">
        <v>786</v>
      </c>
      <c r="C50" s="345"/>
      <c r="D50" s="188"/>
      <c r="E50" s="188"/>
      <c r="F50" s="188"/>
      <c r="G50" s="188"/>
      <c r="H50" s="188"/>
      <c r="I50" s="188"/>
      <c r="J50" s="188"/>
      <c r="K50" s="188"/>
      <c r="L50" s="188"/>
      <c r="M50" s="188"/>
      <c r="N50" s="188"/>
      <c r="O50" s="188"/>
      <c r="P50" s="188"/>
      <c r="Q50" s="188"/>
      <c r="R50" s="188"/>
      <c r="S50" s="188"/>
      <c r="T50" s="188"/>
    </row>
    <row r="51" spans="1:20">
      <c r="A51" s="406" t="s">
        <v>9</v>
      </c>
      <c r="B51" s="188" t="s">
        <v>873</v>
      </c>
      <c r="C51" s="345"/>
      <c r="D51" s="188"/>
      <c r="E51" s="188"/>
      <c r="F51" s="188"/>
      <c r="G51" s="188"/>
      <c r="H51" s="188"/>
      <c r="I51" s="188"/>
      <c r="J51" s="188"/>
      <c r="K51" s="188"/>
      <c r="L51" s="188"/>
      <c r="M51" s="188"/>
      <c r="N51" s="188"/>
      <c r="O51" s="188"/>
      <c r="P51" s="188"/>
      <c r="Q51" s="188"/>
      <c r="R51" s="188"/>
      <c r="S51" s="188"/>
      <c r="T51" s="188"/>
    </row>
    <row r="52" spans="1:20" ht="10.5" customHeight="1">
      <c r="A52" s="406" t="s">
        <v>11</v>
      </c>
      <c r="B52" s="347" t="s">
        <v>796</v>
      </c>
      <c r="C52" s="188"/>
      <c r="D52" s="188"/>
      <c r="E52" s="188"/>
      <c r="F52" s="188"/>
      <c r="G52" s="188"/>
      <c r="H52" s="188"/>
      <c r="I52" s="188"/>
      <c r="J52" s="188"/>
      <c r="K52" s="188"/>
      <c r="L52" s="188"/>
      <c r="M52" s="188"/>
      <c r="N52" s="188"/>
      <c r="O52" s="188"/>
      <c r="P52" s="188"/>
      <c r="Q52" s="188"/>
      <c r="R52" s="188"/>
      <c r="S52" s="188"/>
      <c r="T52" s="188"/>
    </row>
    <row r="53" spans="1:20">
      <c r="A53" s="406" t="s">
        <v>13</v>
      </c>
      <c r="B53" s="188" t="s">
        <v>14</v>
      </c>
      <c r="C53" s="188"/>
      <c r="D53" s="188"/>
      <c r="E53" s="188"/>
      <c r="F53" s="188"/>
      <c r="G53" s="188"/>
      <c r="H53" s="188"/>
      <c r="I53" s="188"/>
      <c r="J53" s="188"/>
      <c r="K53" s="188"/>
      <c r="L53" s="188"/>
      <c r="M53" s="188"/>
      <c r="N53" s="188"/>
      <c r="O53" s="188"/>
      <c r="P53" s="188"/>
      <c r="Q53" s="188"/>
      <c r="R53" s="188"/>
      <c r="S53" s="188"/>
      <c r="T53" s="188"/>
    </row>
    <row r="54" spans="1:20">
      <c r="A54" s="406" t="s">
        <v>15</v>
      </c>
      <c r="B54" s="188">
        <v>5.0000000000000001E-3</v>
      </c>
      <c r="C54" s="188"/>
      <c r="D54" s="188"/>
      <c r="E54" s="188"/>
      <c r="F54" s="188"/>
      <c r="G54" s="188"/>
      <c r="H54" s="188"/>
      <c r="I54" s="188"/>
      <c r="J54" s="188"/>
      <c r="K54" s="188"/>
      <c r="L54" s="188"/>
      <c r="M54" s="188"/>
      <c r="N54" s="188"/>
      <c r="O54" s="188"/>
      <c r="P54" s="188"/>
      <c r="Q54" s="188"/>
      <c r="R54" s="188"/>
      <c r="S54" s="188"/>
      <c r="T54" s="188"/>
    </row>
    <row r="55" spans="1:20">
      <c r="A55" s="406" t="s">
        <v>16</v>
      </c>
      <c r="B55" s="188" t="s">
        <v>17</v>
      </c>
      <c r="C55" s="188"/>
      <c r="D55" s="188"/>
      <c r="E55" s="188"/>
      <c r="F55" s="188"/>
      <c r="G55" s="188"/>
      <c r="H55" s="188"/>
      <c r="I55" s="188"/>
      <c r="J55" s="188"/>
      <c r="K55" s="188"/>
      <c r="L55" s="188"/>
      <c r="M55" s="188"/>
      <c r="N55" s="188"/>
      <c r="O55" s="188"/>
      <c r="P55" s="188"/>
      <c r="Q55" s="188"/>
      <c r="R55" s="188"/>
      <c r="S55" s="188"/>
      <c r="T55" s="188"/>
    </row>
    <row r="56" spans="1:20">
      <c r="A56" s="406" t="s">
        <v>18</v>
      </c>
      <c r="B56" s="188" t="s">
        <v>37</v>
      </c>
      <c r="C56" s="188"/>
      <c r="D56" s="188"/>
      <c r="E56" s="188"/>
      <c r="F56" s="188"/>
      <c r="G56" s="188"/>
      <c r="H56" s="188"/>
      <c r="I56" s="188"/>
      <c r="J56" s="188"/>
      <c r="K56" s="188"/>
      <c r="L56" s="188"/>
      <c r="M56" s="188"/>
      <c r="N56" s="188"/>
      <c r="O56" s="188"/>
      <c r="P56" s="188"/>
      <c r="Q56" s="188"/>
      <c r="R56" s="188"/>
      <c r="S56" s="188"/>
      <c r="T56" s="188"/>
    </row>
    <row r="57" spans="1:20">
      <c r="A57" s="407" t="s">
        <v>19</v>
      </c>
      <c r="B57" s="188"/>
      <c r="C57" s="188"/>
      <c r="D57" s="188"/>
      <c r="E57" s="188"/>
      <c r="F57" s="188"/>
      <c r="G57" s="188"/>
      <c r="H57" s="188"/>
      <c r="I57" s="188"/>
      <c r="J57" s="188"/>
      <c r="K57" s="188"/>
      <c r="L57" s="188"/>
      <c r="M57" s="188"/>
      <c r="N57" s="188"/>
      <c r="O57" s="188"/>
      <c r="P57" s="188"/>
      <c r="Q57" s="188"/>
      <c r="R57" s="188"/>
      <c r="S57" s="188"/>
      <c r="T57" s="188"/>
    </row>
    <row r="58" spans="1:20">
      <c r="A58" s="407" t="s">
        <v>20</v>
      </c>
      <c r="B58" s="344" t="s">
        <v>21</v>
      </c>
      <c r="C58" s="344" t="s">
        <v>18</v>
      </c>
      <c r="D58" s="344" t="s">
        <v>22</v>
      </c>
      <c r="E58" s="344" t="s">
        <v>7</v>
      </c>
      <c r="F58" s="344" t="s">
        <v>13</v>
      </c>
      <c r="G58" s="344" t="s">
        <v>16</v>
      </c>
      <c r="H58" s="344" t="s">
        <v>23</v>
      </c>
      <c r="I58" s="344" t="s">
        <v>24</v>
      </c>
      <c r="J58" s="344" t="s">
        <v>25</v>
      </c>
      <c r="K58" s="344" t="s">
        <v>26</v>
      </c>
      <c r="L58" s="344" t="s">
        <v>27</v>
      </c>
      <c r="M58" s="344" t="s">
        <v>28</v>
      </c>
      <c r="N58" s="344" t="s">
        <v>11</v>
      </c>
      <c r="O58" s="188"/>
      <c r="P58" s="188"/>
      <c r="Q58" s="188"/>
      <c r="R58" s="188"/>
      <c r="S58" s="188"/>
      <c r="T58" s="188"/>
    </row>
    <row r="59" spans="1:20">
      <c r="A59" s="381" t="s">
        <v>872</v>
      </c>
      <c r="B59" s="420">
        <v>6.0000000000000001E-3</v>
      </c>
      <c r="C59" s="188" t="s">
        <v>37</v>
      </c>
      <c r="D59" s="408" t="s">
        <v>2</v>
      </c>
      <c r="E59" s="188" t="s">
        <v>29</v>
      </c>
      <c r="F59" s="37" t="s">
        <v>14</v>
      </c>
      <c r="G59" s="188" t="s">
        <v>30</v>
      </c>
      <c r="H59" s="188">
        <v>1</v>
      </c>
      <c r="I59" s="188">
        <f>B59</f>
        <v>6.0000000000000001E-3</v>
      </c>
      <c r="J59" s="188" t="s">
        <v>31</v>
      </c>
      <c r="K59" s="188" t="s">
        <v>31</v>
      </c>
      <c r="L59" s="188" t="s">
        <v>31</v>
      </c>
      <c r="M59" s="188" t="s">
        <v>31</v>
      </c>
      <c r="N59" s="188"/>
      <c r="O59" s="192"/>
      <c r="P59" s="421"/>
      <c r="Q59" s="188"/>
      <c r="R59" s="188"/>
      <c r="S59" s="188"/>
      <c r="T59" s="188"/>
    </row>
    <row r="60" spans="1:20">
      <c r="A60" s="412" t="s">
        <v>874</v>
      </c>
      <c r="B60" s="350">
        <f>R60</f>
        <v>6.0000000000000001E-3</v>
      </c>
      <c r="C60" s="188" t="s">
        <v>37</v>
      </c>
      <c r="D60" s="188" t="s">
        <v>40</v>
      </c>
      <c r="E60" s="188" t="s">
        <v>29</v>
      </c>
      <c r="F60" s="37" t="s">
        <v>59</v>
      </c>
      <c r="G60" s="188" t="s">
        <v>33</v>
      </c>
      <c r="H60" s="188">
        <v>2</v>
      </c>
      <c r="I60" s="188">
        <f>LN(B60)</f>
        <v>-5.1159958097540823</v>
      </c>
      <c r="J60" s="188">
        <v>7.2284161474004766E-2</v>
      </c>
      <c r="K60" s="188" t="s">
        <v>31</v>
      </c>
      <c r="L60" s="188" t="s">
        <v>31</v>
      </c>
      <c r="M60" s="188" t="s">
        <v>31</v>
      </c>
      <c r="N60" s="188"/>
      <c r="O60" s="401" t="s">
        <v>580</v>
      </c>
      <c r="P60" s="414">
        <v>6</v>
      </c>
      <c r="Q60" s="188" t="s">
        <v>241</v>
      </c>
      <c r="R60" s="188">
        <f>P60*0.001</f>
        <v>6.0000000000000001E-3</v>
      </c>
      <c r="S60" s="188"/>
      <c r="T60" s="188"/>
    </row>
    <row r="61" spans="1:20">
      <c r="A61" s="406" t="s">
        <v>269</v>
      </c>
      <c r="B61" s="350">
        <f>P61</f>
        <v>0.03</v>
      </c>
      <c r="C61" s="188" t="s">
        <v>39</v>
      </c>
      <c r="D61" s="188" t="s">
        <v>40</v>
      </c>
      <c r="E61" s="188" t="s">
        <v>29</v>
      </c>
      <c r="F61" s="37" t="s">
        <v>35</v>
      </c>
      <c r="G61" s="188" t="s">
        <v>33</v>
      </c>
      <c r="H61" s="188">
        <v>2</v>
      </c>
      <c r="I61" s="188">
        <f t="shared" ref="I61:I62" si="6">LN(B61)</f>
        <v>-3.5065578973199818</v>
      </c>
      <c r="J61" s="188">
        <v>7.2284161474004766E-2</v>
      </c>
      <c r="K61" s="188" t="s">
        <v>31</v>
      </c>
      <c r="L61" s="188" t="s">
        <v>31</v>
      </c>
      <c r="M61" s="188" t="s">
        <v>31</v>
      </c>
      <c r="N61" s="188"/>
      <c r="O61" s="401" t="s">
        <v>248</v>
      </c>
      <c r="P61" s="414">
        <v>0.03</v>
      </c>
      <c r="Q61" s="188"/>
      <c r="R61" s="188"/>
      <c r="S61" s="188"/>
      <c r="T61" s="188"/>
    </row>
    <row r="62" spans="1:20">
      <c r="A62" s="381" t="s">
        <v>790</v>
      </c>
      <c r="B62" s="188">
        <v>0.3</v>
      </c>
      <c r="C62" s="188" t="s">
        <v>37</v>
      </c>
      <c r="D62" s="408" t="s">
        <v>2</v>
      </c>
      <c r="E62" s="188" t="s">
        <v>29</v>
      </c>
      <c r="F62" s="37" t="s">
        <v>74</v>
      </c>
      <c r="G62" s="188" t="s">
        <v>33</v>
      </c>
      <c r="H62" s="188">
        <v>2</v>
      </c>
      <c r="I62" s="188">
        <f t="shared" si="6"/>
        <v>-1.2039728043259361</v>
      </c>
      <c r="J62" s="188">
        <v>7.2284161474004766E-2</v>
      </c>
      <c r="K62" s="188" t="s">
        <v>31</v>
      </c>
      <c r="L62" s="188" t="s">
        <v>31</v>
      </c>
      <c r="M62" s="188" t="s">
        <v>31</v>
      </c>
      <c r="N62" s="188"/>
      <c r="O62" s="188"/>
      <c r="P62" s="188"/>
      <c r="Q62" s="188"/>
      <c r="R62" s="188"/>
      <c r="S62" s="188"/>
      <c r="T62" s="188"/>
    </row>
    <row r="63" spans="1:20" s="17" customFormat="1" ht="15.6">
      <c r="A63" s="404" t="s">
        <v>5</v>
      </c>
      <c r="B63" s="371" t="s">
        <v>870</v>
      </c>
      <c r="C63" s="372"/>
      <c r="D63" s="353"/>
      <c r="E63" s="353"/>
      <c r="F63" s="353"/>
      <c r="G63" s="353"/>
      <c r="H63" s="353"/>
      <c r="I63" s="353"/>
      <c r="J63" s="353"/>
      <c r="K63" s="353"/>
      <c r="L63" s="353"/>
      <c r="M63" s="353"/>
      <c r="N63" s="353"/>
      <c r="O63" s="422"/>
      <c r="P63" s="422"/>
      <c r="Q63" s="422"/>
      <c r="R63" s="422"/>
    </row>
    <row r="64" spans="1:20" s="17" customFormat="1" ht="15.6">
      <c r="A64" s="406" t="s">
        <v>7</v>
      </c>
      <c r="B64" s="188" t="s">
        <v>786</v>
      </c>
      <c r="C64" s="345"/>
      <c r="D64" s="188"/>
      <c r="E64" s="188"/>
      <c r="F64" s="188"/>
      <c r="G64" s="188"/>
      <c r="H64" s="188"/>
      <c r="I64" s="188"/>
      <c r="J64" s="188"/>
      <c r="K64" s="188"/>
      <c r="L64" s="188"/>
      <c r="M64" s="188"/>
      <c r="N64" s="188"/>
    </row>
    <row r="65" spans="1:16" s="17" customFormat="1" ht="15.6">
      <c r="A65" s="406" t="s">
        <v>9</v>
      </c>
      <c r="B65" s="188" t="s">
        <v>875</v>
      </c>
      <c r="C65" s="345"/>
      <c r="D65" s="188"/>
      <c r="E65" s="188"/>
      <c r="F65" s="188"/>
      <c r="G65" s="188"/>
      <c r="H65" s="188"/>
      <c r="I65" s="188"/>
      <c r="J65" s="188"/>
      <c r="K65" s="188"/>
      <c r="L65" s="188"/>
      <c r="M65" s="188"/>
      <c r="N65" s="188"/>
    </row>
    <row r="66" spans="1:16" s="17" customFormat="1" ht="10.5" customHeight="1">
      <c r="A66" s="406" t="s">
        <v>11</v>
      </c>
      <c r="B66" s="347" t="s">
        <v>796</v>
      </c>
      <c r="C66" s="188"/>
      <c r="D66" s="188"/>
      <c r="E66" s="188"/>
      <c r="F66" s="188"/>
      <c r="G66" s="188"/>
      <c r="H66" s="188"/>
      <c r="I66" s="188"/>
      <c r="J66" s="188"/>
      <c r="K66" s="188"/>
      <c r="L66" s="188"/>
      <c r="M66" s="188"/>
      <c r="N66" s="188"/>
    </row>
    <row r="67" spans="1:16" s="17" customFormat="1" ht="15.6">
      <c r="A67" s="406" t="s">
        <v>13</v>
      </c>
      <c r="B67" s="188" t="s">
        <v>14</v>
      </c>
      <c r="C67" s="188"/>
      <c r="D67" s="188"/>
      <c r="E67" s="188"/>
      <c r="F67" s="188"/>
      <c r="G67" s="188"/>
      <c r="H67" s="188"/>
      <c r="I67" s="188"/>
      <c r="J67" s="188"/>
      <c r="K67" s="188"/>
      <c r="L67" s="188"/>
      <c r="M67" s="188"/>
      <c r="N67" s="188"/>
    </row>
    <row r="68" spans="1:16" s="17" customFormat="1" ht="15.6">
      <c r="A68" s="406" t="s">
        <v>15</v>
      </c>
      <c r="B68" s="358">
        <v>0.25</v>
      </c>
      <c r="C68" s="188"/>
      <c r="D68" s="188"/>
      <c r="E68" s="188"/>
      <c r="F68" s="188"/>
      <c r="G68" s="188"/>
      <c r="H68" s="188"/>
      <c r="I68" s="188"/>
      <c r="J68" s="188"/>
      <c r="K68" s="188"/>
      <c r="L68" s="188"/>
      <c r="M68" s="188"/>
      <c r="N68" s="188"/>
    </row>
    <row r="69" spans="1:16" s="17" customFormat="1" ht="15.6">
      <c r="A69" s="406" t="s">
        <v>16</v>
      </c>
      <c r="B69" s="188" t="s">
        <v>17</v>
      </c>
      <c r="C69" s="188"/>
      <c r="D69" s="188"/>
      <c r="E69" s="188"/>
      <c r="F69" s="188"/>
      <c r="G69" s="188"/>
      <c r="H69" s="188"/>
      <c r="I69" s="188"/>
      <c r="J69" s="188"/>
      <c r="K69" s="188"/>
      <c r="L69" s="188"/>
      <c r="M69" s="188"/>
      <c r="N69" s="188"/>
    </row>
    <row r="70" spans="1:16" s="17" customFormat="1" ht="15.6">
      <c r="A70" s="406" t="s">
        <v>18</v>
      </c>
      <c r="B70" s="188" t="s">
        <v>37</v>
      </c>
      <c r="C70" s="188"/>
      <c r="D70" s="188"/>
      <c r="E70" s="188"/>
      <c r="F70" s="188"/>
      <c r="G70" s="188"/>
      <c r="H70" s="188"/>
      <c r="I70" s="188"/>
      <c r="J70" s="188"/>
      <c r="K70" s="188"/>
      <c r="L70" s="188"/>
      <c r="M70" s="188"/>
      <c r="N70" s="188"/>
    </row>
    <row r="71" spans="1:16" s="17" customFormat="1" ht="15.6">
      <c r="A71" s="407" t="s">
        <v>19</v>
      </c>
      <c r="B71" s="188"/>
      <c r="C71" s="188"/>
      <c r="D71" s="188"/>
      <c r="E71" s="188"/>
      <c r="F71" s="188"/>
      <c r="G71" s="188"/>
      <c r="H71" s="188"/>
      <c r="I71" s="188"/>
      <c r="J71" s="188"/>
      <c r="K71" s="188"/>
      <c r="L71" s="188"/>
      <c r="M71" s="188"/>
      <c r="N71" s="188"/>
    </row>
    <row r="72" spans="1:16" s="17" customFormat="1" ht="15.6">
      <c r="A72" s="407" t="s">
        <v>20</v>
      </c>
      <c r="B72" s="344" t="s">
        <v>21</v>
      </c>
      <c r="C72" s="344" t="s">
        <v>18</v>
      </c>
      <c r="D72" s="344" t="s">
        <v>22</v>
      </c>
      <c r="E72" s="344" t="s">
        <v>7</v>
      </c>
      <c r="F72" s="344" t="s">
        <v>13</v>
      </c>
      <c r="G72" s="344" t="s">
        <v>16</v>
      </c>
      <c r="H72" s="344" t="s">
        <v>23</v>
      </c>
      <c r="I72" s="344" t="s">
        <v>24</v>
      </c>
      <c r="J72" s="344" t="s">
        <v>25</v>
      </c>
      <c r="K72" s="344" t="s">
        <v>26</v>
      </c>
      <c r="L72" s="344" t="s">
        <v>27</v>
      </c>
      <c r="M72" s="344" t="s">
        <v>28</v>
      </c>
      <c r="N72" s="344" t="s">
        <v>11</v>
      </c>
    </row>
    <row r="73" spans="1:16" s="17" customFormat="1" ht="15.6">
      <c r="A73" s="381" t="s">
        <v>870</v>
      </c>
      <c r="B73" s="358">
        <v>0.25</v>
      </c>
      <c r="C73" s="188" t="s">
        <v>37</v>
      </c>
      <c r="D73" s="408" t="s">
        <v>2</v>
      </c>
      <c r="E73" s="188" t="s">
        <v>29</v>
      </c>
      <c r="F73" s="37" t="s">
        <v>14</v>
      </c>
      <c r="G73" s="188" t="s">
        <v>30</v>
      </c>
      <c r="H73" s="188">
        <v>1</v>
      </c>
      <c r="I73" s="358">
        <f>B73</f>
        <v>0.25</v>
      </c>
      <c r="J73" s="188" t="s">
        <v>31</v>
      </c>
      <c r="K73" s="188" t="s">
        <v>31</v>
      </c>
      <c r="L73" s="188" t="s">
        <v>31</v>
      </c>
      <c r="M73" s="188" t="s">
        <v>31</v>
      </c>
      <c r="N73" s="188"/>
      <c r="O73" s="180"/>
      <c r="P73" s="423"/>
    </row>
    <row r="74" spans="1:16" s="17" customFormat="1" ht="15.6">
      <c r="A74" s="112" t="s">
        <v>703</v>
      </c>
      <c r="B74" s="350">
        <v>0.25</v>
      </c>
      <c r="C74" s="188" t="s">
        <v>37</v>
      </c>
      <c r="D74" s="188" t="s">
        <v>40</v>
      </c>
      <c r="E74" s="188" t="s">
        <v>29</v>
      </c>
      <c r="F74" s="37" t="s">
        <v>59</v>
      </c>
      <c r="G74" s="188" t="s">
        <v>33</v>
      </c>
      <c r="H74" s="188">
        <v>1</v>
      </c>
      <c r="I74" s="358">
        <f t="shared" ref="I74:I75" si="7">B74</f>
        <v>0.25</v>
      </c>
      <c r="J74" s="188" t="s">
        <v>31</v>
      </c>
      <c r="K74" s="188" t="s">
        <v>31</v>
      </c>
      <c r="L74" s="188" t="s">
        <v>31</v>
      </c>
      <c r="M74" s="188" t="s">
        <v>31</v>
      </c>
      <c r="N74" s="188"/>
      <c r="O74" s="180"/>
      <c r="P74" s="423"/>
    </row>
    <row r="75" spans="1:16" s="17" customFormat="1" ht="15.6">
      <c r="A75" s="112" t="s">
        <v>876</v>
      </c>
      <c r="B75" s="350">
        <f>B74</f>
        <v>0.25</v>
      </c>
      <c r="C75" s="188" t="s">
        <v>37</v>
      </c>
      <c r="D75" s="188" t="s">
        <v>40</v>
      </c>
      <c r="E75" s="188" t="s">
        <v>29</v>
      </c>
      <c r="F75" s="37" t="s">
        <v>59</v>
      </c>
      <c r="G75" s="188" t="s">
        <v>33</v>
      </c>
      <c r="H75" s="188">
        <v>1</v>
      </c>
      <c r="I75" s="358">
        <f t="shared" si="7"/>
        <v>0.25</v>
      </c>
      <c r="J75" s="188" t="s">
        <v>31</v>
      </c>
      <c r="K75" s="188" t="s">
        <v>31</v>
      </c>
      <c r="L75" s="188" t="s">
        <v>31</v>
      </c>
      <c r="M75" s="188" t="s">
        <v>31</v>
      </c>
      <c r="N75" s="188"/>
      <c r="O75" s="180"/>
      <c r="P75" s="423"/>
    </row>
    <row r="76" spans="1:16" s="422" customFormat="1" ht="15.6">
      <c r="A76" s="370" t="s">
        <v>5</v>
      </c>
      <c r="B76" s="371" t="s">
        <v>877</v>
      </c>
      <c r="C76" s="372"/>
      <c r="D76" s="353"/>
      <c r="E76" s="353"/>
      <c r="F76" s="353"/>
      <c r="G76" s="353"/>
      <c r="H76" s="353"/>
      <c r="I76" s="353"/>
      <c r="J76" s="353"/>
      <c r="K76" s="353"/>
      <c r="L76" s="353"/>
      <c r="M76" s="353"/>
      <c r="N76" s="353"/>
    </row>
    <row r="77" spans="1:16" s="17" customFormat="1" ht="15.6">
      <c r="A77" s="346" t="s">
        <v>7</v>
      </c>
      <c r="B77" s="188" t="s">
        <v>786</v>
      </c>
      <c r="C77" s="345"/>
      <c r="D77" s="188"/>
      <c r="E77" s="188"/>
      <c r="F77" s="188"/>
      <c r="G77" s="188"/>
      <c r="H77" s="188"/>
      <c r="I77" s="188"/>
      <c r="J77" s="188"/>
      <c r="K77" s="188"/>
      <c r="L77" s="188"/>
      <c r="M77" s="188"/>
      <c r="N77" s="188"/>
    </row>
    <row r="78" spans="1:16" s="17" customFormat="1" ht="15.6">
      <c r="A78" s="424" t="s">
        <v>9</v>
      </c>
      <c r="B78" s="188" t="s">
        <v>878</v>
      </c>
      <c r="C78" s="345"/>
      <c r="D78" s="188"/>
      <c r="E78" s="188"/>
      <c r="F78" s="188"/>
      <c r="G78" s="188"/>
      <c r="H78" s="188"/>
      <c r="I78" s="188"/>
      <c r="J78" s="188"/>
      <c r="K78" s="188"/>
      <c r="L78" s="188"/>
      <c r="M78" s="188"/>
      <c r="N78" s="188"/>
    </row>
    <row r="79" spans="1:16" s="17" customFormat="1" ht="15.75" customHeight="1">
      <c r="A79" s="346" t="s">
        <v>11</v>
      </c>
      <c r="B79" s="347" t="s">
        <v>796</v>
      </c>
      <c r="C79" s="188"/>
      <c r="D79" s="188"/>
      <c r="E79" s="188"/>
      <c r="F79" s="188"/>
      <c r="G79" s="188"/>
      <c r="H79" s="188"/>
      <c r="I79" s="188"/>
      <c r="J79" s="188"/>
      <c r="K79" s="188"/>
      <c r="L79" s="188"/>
      <c r="M79" s="188"/>
      <c r="N79" s="188"/>
    </row>
    <row r="80" spans="1:16" s="17" customFormat="1" ht="15.6">
      <c r="A80" s="346" t="s">
        <v>13</v>
      </c>
      <c r="B80" s="188" t="s">
        <v>14</v>
      </c>
      <c r="C80" s="188"/>
      <c r="D80" s="188"/>
      <c r="E80" s="188"/>
      <c r="F80" s="188"/>
      <c r="G80" s="188"/>
      <c r="H80" s="188"/>
      <c r="I80" s="188"/>
      <c r="J80" s="188"/>
      <c r="K80" s="188"/>
      <c r="L80" s="188"/>
      <c r="M80" s="188"/>
      <c r="N80" s="188"/>
    </row>
    <row r="81" spans="1:19" s="17" customFormat="1" ht="15.6">
      <c r="A81" s="346" t="s">
        <v>15</v>
      </c>
      <c r="B81" s="425">
        <f>B86</f>
        <v>0.63</v>
      </c>
      <c r="C81" s="188"/>
      <c r="D81" s="188"/>
      <c r="E81" s="188"/>
      <c r="F81" s="188"/>
      <c r="G81" s="188"/>
      <c r="H81" s="188"/>
      <c r="I81" s="188"/>
      <c r="J81" s="188"/>
      <c r="K81" s="188"/>
      <c r="L81" s="188"/>
      <c r="M81" s="188"/>
      <c r="N81" s="188"/>
    </row>
    <row r="82" spans="1:19" s="17" customFormat="1" ht="15.6">
      <c r="A82" s="346" t="s">
        <v>16</v>
      </c>
      <c r="B82" s="188" t="s">
        <v>17</v>
      </c>
      <c r="C82" s="188"/>
      <c r="D82" s="188"/>
      <c r="E82" s="188"/>
      <c r="F82" s="188"/>
      <c r="G82" s="188"/>
      <c r="H82" s="188"/>
      <c r="I82" s="188"/>
      <c r="J82" s="188"/>
      <c r="K82" s="188"/>
      <c r="L82" s="188"/>
      <c r="M82" s="188"/>
      <c r="N82" s="188"/>
    </row>
    <row r="83" spans="1:19" s="17" customFormat="1" ht="15.6">
      <c r="A83" s="346" t="s">
        <v>18</v>
      </c>
      <c r="B83" s="188" t="s">
        <v>37</v>
      </c>
      <c r="C83" s="188"/>
      <c r="D83" s="188"/>
      <c r="E83" s="188"/>
      <c r="F83" s="188"/>
      <c r="G83" s="188"/>
      <c r="H83" s="188"/>
      <c r="I83" s="188"/>
      <c r="J83" s="188"/>
      <c r="K83" s="188"/>
      <c r="L83" s="188"/>
      <c r="M83" s="188"/>
      <c r="N83" s="188"/>
      <c r="S83" s="426"/>
    </row>
    <row r="84" spans="1:19" s="17" customFormat="1" ht="15.6">
      <c r="A84" s="343" t="s">
        <v>19</v>
      </c>
      <c r="B84" s="188"/>
      <c r="C84" s="188"/>
      <c r="D84" s="188"/>
      <c r="E84" s="188"/>
      <c r="F84" s="188"/>
      <c r="G84" s="188"/>
      <c r="H84" s="188"/>
      <c r="I84" s="188"/>
      <c r="J84" s="188"/>
      <c r="K84" s="188"/>
      <c r="L84" s="188"/>
      <c r="M84" s="188"/>
      <c r="N84" s="188"/>
    </row>
    <row r="85" spans="1:19" s="17" customFormat="1" ht="15.6">
      <c r="A85" s="344" t="s">
        <v>20</v>
      </c>
      <c r="B85" s="344" t="s">
        <v>21</v>
      </c>
      <c r="C85" s="344" t="s">
        <v>18</v>
      </c>
      <c r="D85" s="344" t="s">
        <v>22</v>
      </c>
      <c r="E85" s="344" t="s">
        <v>7</v>
      </c>
      <c r="F85" s="344" t="s">
        <v>13</v>
      </c>
      <c r="G85" s="344" t="s">
        <v>16</v>
      </c>
      <c r="H85" s="344" t="s">
        <v>23</v>
      </c>
      <c r="I85" s="344" t="s">
        <v>24</v>
      </c>
      <c r="J85" s="344" t="s">
        <v>25</v>
      </c>
      <c r="K85" s="344" t="s">
        <v>26</v>
      </c>
      <c r="L85" s="344" t="s">
        <v>27</v>
      </c>
      <c r="M85" s="344" t="s">
        <v>28</v>
      </c>
      <c r="N85" s="344" t="s">
        <v>11</v>
      </c>
    </row>
    <row r="86" spans="1:19" s="17" customFormat="1" ht="15.6">
      <c r="A86" s="188" t="s">
        <v>877</v>
      </c>
      <c r="B86" s="358">
        <v>0.63</v>
      </c>
      <c r="C86" s="188" t="s">
        <v>37</v>
      </c>
      <c r="D86" s="408" t="s">
        <v>2</v>
      </c>
      <c r="E86" s="188" t="s">
        <v>29</v>
      </c>
      <c r="F86" s="188" t="s">
        <v>14</v>
      </c>
      <c r="G86" s="188" t="s">
        <v>879</v>
      </c>
      <c r="H86" s="188">
        <v>1</v>
      </c>
      <c r="I86" s="358">
        <f>B86</f>
        <v>0.63</v>
      </c>
      <c r="J86" s="188" t="s">
        <v>31</v>
      </c>
      <c r="K86" s="188" t="s">
        <v>31</v>
      </c>
      <c r="L86" s="188" t="s">
        <v>31</v>
      </c>
      <c r="M86" s="188" t="s">
        <v>31</v>
      </c>
      <c r="N86" s="188"/>
      <c r="O86" s="180"/>
      <c r="P86" s="423"/>
    </row>
    <row r="87" spans="1:19" s="17" customFormat="1" ht="15.6">
      <c r="A87" s="88" t="s">
        <v>653</v>
      </c>
      <c r="B87" s="358">
        <v>0.63</v>
      </c>
      <c r="C87" s="188" t="s">
        <v>37</v>
      </c>
      <c r="D87" s="188" t="s">
        <v>40</v>
      </c>
      <c r="E87" s="188" t="s">
        <v>29</v>
      </c>
      <c r="F87" s="37" t="s">
        <v>59</v>
      </c>
      <c r="G87" s="188" t="s">
        <v>33</v>
      </c>
      <c r="H87" s="188">
        <v>1</v>
      </c>
      <c r="I87" s="358">
        <f t="shared" ref="I87:I89" si="8">B87</f>
        <v>0.63</v>
      </c>
      <c r="J87" s="188" t="s">
        <v>31</v>
      </c>
      <c r="K87" s="188" t="s">
        <v>31</v>
      </c>
      <c r="L87" s="188" t="s">
        <v>31</v>
      </c>
      <c r="M87" s="188" t="s">
        <v>31</v>
      </c>
      <c r="N87" s="188"/>
      <c r="O87" s="180"/>
      <c r="P87" s="423"/>
    </row>
    <row r="88" spans="1:19" s="17" customFormat="1" ht="15.6">
      <c r="A88" s="88" t="s">
        <v>624</v>
      </c>
      <c r="B88" s="358">
        <v>0.63</v>
      </c>
      <c r="C88" s="188" t="s">
        <v>37</v>
      </c>
      <c r="D88" s="188" t="s">
        <v>40</v>
      </c>
      <c r="E88" s="188" t="s">
        <v>29</v>
      </c>
      <c r="F88" s="37" t="s">
        <v>59</v>
      </c>
      <c r="G88" s="188" t="s">
        <v>33</v>
      </c>
      <c r="H88" s="188">
        <v>1</v>
      </c>
      <c r="I88" s="358">
        <f t="shared" si="8"/>
        <v>0.63</v>
      </c>
      <c r="J88" s="188" t="s">
        <v>31</v>
      </c>
      <c r="K88" s="188" t="s">
        <v>31</v>
      </c>
      <c r="L88" s="188" t="s">
        <v>31</v>
      </c>
      <c r="M88" s="188" t="s">
        <v>31</v>
      </c>
      <c r="N88" s="188"/>
      <c r="O88" s="180"/>
      <c r="P88" s="423"/>
    </row>
    <row r="89" spans="1:19" s="17" customFormat="1" ht="15.6">
      <c r="A89" s="88" t="s">
        <v>880</v>
      </c>
      <c r="B89" s="358">
        <v>0.63</v>
      </c>
      <c r="C89" s="188" t="s">
        <v>37</v>
      </c>
      <c r="D89" s="188" t="s">
        <v>40</v>
      </c>
      <c r="E89" s="188" t="s">
        <v>29</v>
      </c>
      <c r="F89" s="37" t="s">
        <v>35</v>
      </c>
      <c r="G89" s="188" t="s">
        <v>33</v>
      </c>
      <c r="H89" s="188">
        <v>1</v>
      </c>
      <c r="I89" s="358">
        <f t="shared" si="8"/>
        <v>0.63</v>
      </c>
      <c r="J89" s="188" t="s">
        <v>31</v>
      </c>
      <c r="K89" s="188" t="s">
        <v>31</v>
      </c>
      <c r="L89" s="188" t="s">
        <v>31</v>
      </c>
      <c r="M89" s="188" t="s">
        <v>31</v>
      </c>
      <c r="N89" s="188"/>
      <c r="O89" s="180"/>
      <c r="P89" s="423"/>
    </row>
    <row r="90" spans="1:19" s="17" customFormat="1" ht="15.6">
      <c r="A90" s="370" t="s">
        <v>5</v>
      </c>
      <c r="B90" s="371" t="s">
        <v>844</v>
      </c>
      <c r="C90" s="372"/>
      <c r="D90" s="353"/>
      <c r="E90" s="353"/>
      <c r="F90" s="353"/>
      <c r="G90" s="353"/>
      <c r="H90" s="353"/>
      <c r="I90" s="353"/>
      <c r="J90" s="353"/>
      <c r="K90" s="353"/>
      <c r="L90" s="353"/>
      <c r="M90" s="353"/>
      <c r="N90" s="188"/>
    </row>
    <row r="91" spans="1:19" s="17" customFormat="1" ht="15.6">
      <c r="A91" s="346" t="s">
        <v>7</v>
      </c>
      <c r="B91" s="188" t="s">
        <v>786</v>
      </c>
      <c r="C91" s="345"/>
      <c r="D91" s="188"/>
      <c r="E91" s="188"/>
      <c r="F91" s="188"/>
      <c r="G91" s="188"/>
      <c r="H91" s="188"/>
      <c r="I91" s="188"/>
      <c r="J91" s="188"/>
      <c r="K91" s="188"/>
      <c r="L91" s="188"/>
      <c r="M91" s="188"/>
      <c r="N91" s="188"/>
    </row>
    <row r="92" spans="1:19" s="17" customFormat="1" ht="15.6">
      <c r="A92" s="346" t="s">
        <v>9</v>
      </c>
      <c r="B92" s="381" t="s">
        <v>881</v>
      </c>
      <c r="C92" s="345"/>
      <c r="D92" s="188"/>
      <c r="E92" s="188"/>
      <c r="F92" s="188"/>
      <c r="G92" s="188"/>
      <c r="H92" s="188"/>
      <c r="I92" s="188"/>
      <c r="J92" s="188"/>
      <c r="K92" s="188"/>
      <c r="L92" s="188"/>
      <c r="M92" s="188"/>
      <c r="N92" s="188"/>
    </row>
    <row r="93" spans="1:19" s="17" customFormat="1" ht="15.6">
      <c r="A93" s="346" t="s">
        <v>11</v>
      </c>
      <c r="B93" s="347" t="s">
        <v>788</v>
      </c>
      <c r="C93" s="188"/>
      <c r="D93" s="188"/>
      <c r="E93" s="188"/>
      <c r="F93" s="188"/>
      <c r="G93" s="188"/>
      <c r="H93" s="188"/>
      <c r="I93" s="188"/>
      <c r="J93" s="188"/>
      <c r="K93" s="188"/>
      <c r="L93" s="188"/>
      <c r="M93" s="188"/>
      <c r="N93" s="188"/>
    </row>
    <row r="94" spans="1:19" s="17" customFormat="1" ht="15.6">
      <c r="A94" s="346" t="s">
        <v>13</v>
      </c>
      <c r="B94" s="37" t="s">
        <v>14</v>
      </c>
      <c r="C94" s="188"/>
      <c r="D94" s="188"/>
      <c r="E94" s="188"/>
      <c r="F94" s="188"/>
      <c r="G94" s="188"/>
      <c r="H94" s="188"/>
      <c r="I94" s="188"/>
      <c r="J94" s="188"/>
      <c r="K94" s="188"/>
      <c r="L94" s="188"/>
      <c r="M94" s="188"/>
      <c r="N94" s="188"/>
    </row>
    <row r="95" spans="1:19" s="17" customFormat="1" ht="15.6">
      <c r="A95" s="346" t="s">
        <v>15</v>
      </c>
      <c r="B95" s="188">
        <f>B100</f>
        <v>0.63</v>
      </c>
      <c r="C95" s="188"/>
      <c r="D95" s="188"/>
      <c r="E95" s="188"/>
      <c r="F95" s="188"/>
      <c r="G95" s="188"/>
      <c r="H95" s="188"/>
      <c r="I95" s="188"/>
      <c r="J95" s="188"/>
      <c r="K95" s="188"/>
      <c r="L95" s="188"/>
      <c r="M95" s="188"/>
      <c r="N95" s="188"/>
    </row>
    <row r="96" spans="1:19" s="17" customFormat="1" ht="15.6">
      <c r="A96" s="346" t="s">
        <v>16</v>
      </c>
      <c r="B96" s="188" t="s">
        <v>17</v>
      </c>
      <c r="C96" s="188"/>
      <c r="D96" s="188"/>
      <c r="E96" s="188"/>
      <c r="F96" s="188"/>
      <c r="G96" s="188"/>
      <c r="H96" s="188"/>
      <c r="I96" s="188"/>
      <c r="J96" s="188"/>
      <c r="K96" s="188"/>
      <c r="L96" s="188"/>
      <c r="M96" s="188"/>
      <c r="N96" s="188"/>
    </row>
    <row r="97" spans="1:14" s="17" customFormat="1" ht="15.6">
      <c r="A97" s="346" t="s">
        <v>18</v>
      </c>
      <c r="B97" s="188" t="s">
        <v>37</v>
      </c>
      <c r="C97" s="188"/>
      <c r="D97" s="188"/>
      <c r="E97" s="188"/>
      <c r="F97" s="188"/>
      <c r="G97" s="188"/>
      <c r="H97" s="188"/>
      <c r="I97" s="188"/>
      <c r="J97" s="188"/>
      <c r="K97" s="188"/>
      <c r="L97" s="188"/>
      <c r="M97" s="188"/>
      <c r="N97" s="188"/>
    </row>
    <row r="98" spans="1:14" s="17" customFormat="1" ht="15.6">
      <c r="A98" s="343" t="s">
        <v>19</v>
      </c>
      <c r="B98" s="188"/>
      <c r="C98" s="188"/>
      <c r="D98" s="188"/>
      <c r="E98" s="188"/>
      <c r="F98" s="188"/>
      <c r="G98" s="188"/>
      <c r="H98" s="188"/>
      <c r="I98" s="188"/>
      <c r="J98" s="188"/>
      <c r="K98" s="188"/>
      <c r="L98" s="188"/>
      <c r="M98" s="188"/>
      <c r="N98" s="188"/>
    </row>
    <row r="99" spans="1:14" s="17" customFormat="1" ht="15.6">
      <c r="A99" s="343" t="s">
        <v>20</v>
      </c>
      <c r="B99" s="344" t="s">
        <v>21</v>
      </c>
      <c r="C99" s="344" t="s">
        <v>18</v>
      </c>
      <c r="D99" s="344" t="s">
        <v>22</v>
      </c>
      <c r="E99" s="344" t="s">
        <v>7</v>
      </c>
      <c r="F99" s="344" t="s">
        <v>13</v>
      </c>
      <c r="G99" s="344" t="s">
        <v>16</v>
      </c>
      <c r="H99" s="344" t="s">
        <v>23</v>
      </c>
      <c r="I99" s="344" t="s">
        <v>24</v>
      </c>
      <c r="J99" s="344" t="s">
        <v>25</v>
      </c>
      <c r="K99" s="344" t="s">
        <v>26</v>
      </c>
      <c r="L99" s="344" t="s">
        <v>27</v>
      </c>
      <c r="M99" s="344" t="s">
        <v>28</v>
      </c>
      <c r="N99" s="344" t="s">
        <v>11</v>
      </c>
    </row>
    <row r="100" spans="1:14" s="17" customFormat="1" ht="15.6">
      <c r="A100" s="192" t="s">
        <v>844</v>
      </c>
      <c r="B100" s="192">
        <v>0.63</v>
      </c>
      <c r="C100" s="188" t="s">
        <v>37</v>
      </c>
      <c r="D100" s="188" t="s">
        <v>2</v>
      </c>
      <c r="E100" s="188" t="s">
        <v>29</v>
      </c>
      <c r="F100" s="37" t="s">
        <v>14</v>
      </c>
      <c r="G100" s="188" t="s">
        <v>30</v>
      </c>
      <c r="H100" s="188">
        <v>1</v>
      </c>
      <c r="I100" s="188">
        <f>B100</f>
        <v>0.63</v>
      </c>
      <c r="J100" s="188" t="s">
        <v>31</v>
      </c>
      <c r="K100" s="188" t="s">
        <v>31</v>
      </c>
      <c r="L100" s="188" t="s">
        <v>31</v>
      </c>
      <c r="M100" s="188" t="s">
        <v>31</v>
      </c>
      <c r="N100" s="188"/>
    </row>
    <row r="101" spans="1:14" s="17" customFormat="1" ht="15.6">
      <c r="A101" s="192" t="s">
        <v>877</v>
      </c>
      <c r="B101" s="192">
        <v>0.63</v>
      </c>
      <c r="C101" s="188" t="s">
        <v>37</v>
      </c>
      <c r="D101" s="188" t="s">
        <v>2</v>
      </c>
      <c r="E101" s="188" t="s">
        <v>29</v>
      </c>
      <c r="F101" s="37" t="s">
        <v>14</v>
      </c>
      <c r="G101" s="188" t="s">
        <v>33</v>
      </c>
      <c r="H101" s="188">
        <v>1</v>
      </c>
      <c r="I101" s="188">
        <f>B101</f>
        <v>0.63</v>
      </c>
      <c r="J101" s="188" t="s">
        <v>31</v>
      </c>
      <c r="K101" s="188" t="s">
        <v>31</v>
      </c>
      <c r="L101" s="188" t="s">
        <v>31</v>
      </c>
      <c r="M101" s="188" t="s">
        <v>31</v>
      </c>
      <c r="N101" s="188"/>
    </row>
    <row r="102" spans="1:14" s="17" customFormat="1" ht="15.6">
      <c r="A102" s="130" t="s">
        <v>882</v>
      </c>
      <c r="B102" s="188">
        <v>4.0000000000000001E-3</v>
      </c>
      <c r="C102" s="188" t="s">
        <v>37</v>
      </c>
      <c r="D102" s="188" t="s">
        <v>40</v>
      </c>
      <c r="E102" s="188" t="s">
        <v>29</v>
      </c>
      <c r="F102" s="37" t="s">
        <v>82</v>
      </c>
      <c r="G102" s="188" t="s">
        <v>33</v>
      </c>
      <c r="H102" s="188">
        <v>1</v>
      </c>
      <c r="I102" s="188">
        <f t="shared" ref="I102:I104" si="9">B102</f>
        <v>4.0000000000000001E-3</v>
      </c>
      <c r="J102" s="188" t="s">
        <v>31</v>
      </c>
      <c r="K102" s="188" t="s">
        <v>31</v>
      </c>
      <c r="L102" s="188" t="s">
        <v>31</v>
      </c>
      <c r="M102" s="188" t="s">
        <v>31</v>
      </c>
      <c r="N102" s="188"/>
    </row>
    <row r="103" spans="1:14" s="17" customFormat="1" ht="15.6">
      <c r="A103" s="130" t="s">
        <v>883</v>
      </c>
      <c r="B103" s="188">
        <v>0.08</v>
      </c>
      <c r="C103" s="188" t="s">
        <v>609</v>
      </c>
      <c r="D103" s="188" t="s">
        <v>40</v>
      </c>
      <c r="E103" s="188" t="s">
        <v>29</v>
      </c>
      <c r="F103" s="37" t="s">
        <v>59</v>
      </c>
      <c r="G103" s="188" t="s">
        <v>33</v>
      </c>
      <c r="H103" s="188">
        <v>1</v>
      </c>
      <c r="I103" s="188">
        <f t="shared" si="9"/>
        <v>0.08</v>
      </c>
      <c r="J103" s="188" t="s">
        <v>31</v>
      </c>
      <c r="K103" s="188" t="s">
        <v>31</v>
      </c>
      <c r="L103" s="188" t="s">
        <v>31</v>
      </c>
      <c r="M103" s="188" t="s">
        <v>31</v>
      </c>
      <c r="N103" s="188"/>
    </row>
    <row r="104" spans="1:14" s="17" customFormat="1" ht="15.6">
      <c r="A104" s="130" t="s">
        <v>599</v>
      </c>
      <c r="B104" s="188">
        <v>4.0000000000000001E-3</v>
      </c>
      <c r="C104" s="188" t="s">
        <v>37</v>
      </c>
      <c r="D104" s="188" t="s">
        <v>40</v>
      </c>
      <c r="E104" s="188" t="s">
        <v>29</v>
      </c>
      <c r="F104" s="37" t="s">
        <v>59</v>
      </c>
      <c r="G104" s="188" t="s">
        <v>33</v>
      </c>
      <c r="H104" s="188">
        <v>1</v>
      </c>
      <c r="I104" s="188">
        <f t="shared" si="9"/>
        <v>4.0000000000000001E-3</v>
      </c>
      <c r="J104" s="188" t="s">
        <v>31</v>
      </c>
      <c r="K104" s="188" t="s">
        <v>31</v>
      </c>
      <c r="L104" s="188" t="s">
        <v>31</v>
      </c>
      <c r="M104" s="188" t="s">
        <v>31</v>
      </c>
      <c r="N104" s="188"/>
    </row>
  </sheetData>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6BE59-DB50-431F-AE3B-99D815AF7E23}">
  <sheetPr>
    <tabColor theme="9"/>
  </sheetPr>
  <dimension ref="A1:W47"/>
  <sheetViews>
    <sheetView topLeftCell="A27" zoomScale="85" zoomScaleNormal="85" workbookViewId="0">
      <selection activeCell="A12" sqref="A12"/>
    </sheetView>
  </sheetViews>
  <sheetFormatPr defaultRowHeight="14.45"/>
  <cols>
    <col min="1" max="1" width="44.7109375" customWidth="1"/>
    <col min="2" max="2" width="13.5703125" customWidth="1"/>
    <col min="4" max="4" width="23.42578125" customWidth="1"/>
    <col min="7" max="7" width="12.7109375" customWidth="1"/>
  </cols>
  <sheetData>
    <row r="1" spans="1:23">
      <c r="A1" s="188" t="s">
        <v>0</v>
      </c>
      <c r="B1" s="188">
        <v>13</v>
      </c>
      <c r="C1" s="188"/>
      <c r="D1" s="188"/>
      <c r="E1" s="188"/>
      <c r="F1" s="188"/>
      <c r="G1" s="188"/>
      <c r="H1" s="188"/>
      <c r="I1" s="188"/>
      <c r="J1" s="188"/>
      <c r="K1" s="188"/>
      <c r="L1" s="188"/>
      <c r="M1" s="188"/>
      <c r="N1" s="188"/>
      <c r="O1" s="188"/>
      <c r="P1" s="188"/>
      <c r="Q1" s="188"/>
      <c r="R1" s="188"/>
      <c r="S1" s="188"/>
      <c r="T1" s="188"/>
      <c r="U1" s="188"/>
    </row>
    <row r="2" spans="1:23" s="70" customFormat="1">
      <c r="A2" s="370" t="s">
        <v>5</v>
      </c>
      <c r="B2" s="371" t="s">
        <v>839</v>
      </c>
      <c r="C2" s="353"/>
      <c r="D2" s="353"/>
      <c r="E2" s="353"/>
      <c r="F2" s="353"/>
      <c r="G2" s="353"/>
      <c r="H2" s="353"/>
      <c r="I2" s="353"/>
      <c r="J2" s="353"/>
      <c r="K2" s="353"/>
      <c r="L2" s="353"/>
      <c r="M2" s="353"/>
      <c r="N2" s="353"/>
      <c r="O2" s="353"/>
      <c r="P2" s="353"/>
      <c r="Q2" s="353"/>
      <c r="R2" s="353"/>
      <c r="S2" s="353"/>
      <c r="T2" s="353"/>
      <c r="U2" s="353"/>
    </row>
    <row r="3" spans="1:23">
      <c r="A3" s="346" t="s">
        <v>7</v>
      </c>
      <c r="B3" s="188" t="s">
        <v>786</v>
      </c>
      <c r="C3" s="345"/>
      <c r="D3" s="188"/>
      <c r="E3" s="188"/>
      <c r="F3" s="188"/>
      <c r="G3" s="188"/>
      <c r="H3" s="188"/>
      <c r="I3" s="188"/>
      <c r="J3" s="188"/>
      <c r="K3" s="188"/>
      <c r="L3" s="188"/>
      <c r="M3" s="188"/>
      <c r="N3" s="188"/>
      <c r="O3" s="188"/>
      <c r="P3" s="188"/>
      <c r="Q3" s="188"/>
      <c r="R3" s="188"/>
      <c r="S3" s="188"/>
      <c r="T3" s="188"/>
      <c r="U3" s="188"/>
    </row>
    <row r="4" spans="1:23">
      <c r="A4" s="424" t="s">
        <v>9</v>
      </c>
      <c r="B4" s="188" t="s">
        <v>884</v>
      </c>
      <c r="C4" s="345"/>
      <c r="D4" s="188"/>
      <c r="E4" s="188"/>
      <c r="F4" s="188"/>
      <c r="G4" s="188"/>
      <c r="H4" s="188"/>
      <c r="I4" s="188"/>
      <c r="J4" s="188"/>
      <c r="K4" s="188"/>
      <c r="L4" s="188"/>
      <c r="M4" s="188"/>
      <c r="N4" s="188"/>
      <c r="O4" s="188"/>
      <c r="P4" s="188"/>
      <c r="Q4" s="188"/>
      <c r="R4" s="188"/>
      <c r="S4" s="188"/>
      <c r="T4" s="188"/>
      <c r="U4" s="188"/>
    </row>
    <row r="5" spans="1:23" ht="15.75" customHeight="1">
      <c r="A5" s="346" t="s">
        <v>11</v>
      </c>
      <c r="B5" s="347" t="s">
        <v>796</v>
      </c>
      <c r="C5" s="188"/>
      <c r="D5" s="188"/>
      <c r="E5" s="188"/>
      <c r="F5" s="188"/>
      <c r="G5" s="188"/>
      <c r="H5" s="188"/>
      <c r="I5" s="188"/>
      <c r="J5" s="188"/>
      <c r="K5" s="188"/>
      <c r="L5" s="188"/>
      <c r="M5" s="188"/>
      <c r="N5" s="188"/>
      <c r="O5" s="188"/>
      <c r="P5" s="188"/>
      <c r="Q5" s="188"/>
      <c r="R5" s="188"/>
      <c r="S5" s="188"/>
      <c r="T5" s="188"/>
      <c r="U5" s="188"/>
    </row>
    <row r="6" spans="1:23">
      <c r="A6" s="346" t="s">
        <v>13</v>
      </c>
      <c r="B6" s="188" t="s">
        <v>14</v>
      </c>
      <c r="C6" s="188"/>
      <c r="D6" s="188"/>
      <c r="E6" s="188"/>
      <c r="F6" s="188"/>
      <c r="G6" s="188"/>
      <c r="H6" s="188"/>
      <c r="I6" s="188"/>
      <c r="J6" s="188"/>
      <c r="K6" s="188"/>
      <c r="L6" s="188"/>
      <c r="M6" s="188"/>
      <c r="N6" s="188"/>
      <c r="O6" s="188"/>
      <c r="P6" s="188"/>
      <c r="Q6" s="188"/>
      <c r="R6" s="188"/>
      <c r="S6" s="188"/>
      <c r="T6" s="188"/>
      <c r="U6" s="188"/>
    </row>
    <row r="7" spans="1:23">
      <c r="A7" s="346" t="s">
        <v>15</v>
      </c>
      <c r="B7" s="415">
        <f>B12</f>
        <v>0.04</v>
      </c>
      <c r="C7" s="188"/>
      <c r="D7" s="188"/>
      <c r="E7" s="188"/>
      <c r="F7" s="188"/>
      <c r="G7" s="188"/>
      <c r="H7" s="188"/>
      <c r="I7" s="188"/>
      <c r="J7" s="188"/>
      <c r="K7" s="188"/>
      <c r="L7" s="188"/>
      <c r="M7" s="188"/>
      <c r="N7" s="188"/>
      <c r="O7" s="188"/>
      <c r="P7" s="188"/>
      <c r="Q7" s="188"/>
      <c r="R7" s="344" t="s">
        <v>885</v>
      </c>
      <c r="S7" s="188"/>
      <c r="T7" s="188"/>
      <c r="U7" s="188"/>
    </row>
    <row r="8" spans="1:23">
      <c r="A8" s="346" t="s">
        <v>16</v>
      </c>
      <c r="B8" s="188" t="s">
        <v>17</v>
      </c>
      <c r="C8" s="188"/>
      <c r="D8" s="188"/>
      <c r="E8" s="188"/>
      <c r="F8" s="188"/>
      <c r="G8" s="188"/>
      <c r="H8" s="188"/>
      <c r="I8" s="188"/>
      <c r="J8" s="188"/>
      <c r="K8" s="188"/>
      <c r="L8" s="188"/>
      <c r="M8" s="188"/>
      <c r="N8" s="188"/>
      <c r="O8" s="188"/>
      <c r="P8" s="188"/>
      <c r="Q8" s="188"/>
      <c r="R8" s="188" t="s">
        <v>886</v>
      </c>
      <c r="S8" s="188">
        <v>8900</v>
      </c>
      <c r="T8" s="188" t="s">
        <v>887</v>
      </c>
      <c r="U8" s="188"/>
    </row>
    <row r="9" spans="1:23">
      <c r="A9" s="346" t="s">
        <v>18</v>
      </c>
      <c r="B9" s="188" t="s">
        <v>37</v>
      </c>
      <c r="C9" s="188"/>
      <c r="D9" s="188"/>
      <c r="E9" s="188"/>
      <c r="F9" s="188"/>
      <c r="G9" s="188"/>
      <c r="H9" s="188"/>
      <c r="I9" s="188"/>
      <c r="J9" s="188"/>
      <c r="K9" s="188"/>
      <c r="L9" s="188"/>
      <c r="M9" s="188"/>
      <c r="N9" s="188"/>
      <c r="O9" s="188"/>
      <c r="P9" s="188"/>
      <c r="Q9" s="188"/>
      <c r="R9" s="188" t="s">
        <v>888</v>
      </c>
      <c r="S9" s="188">
        <f>5*10^-6</f>
        <v>4.9999999999999996E-6</v>
      </c>
      <c r="T9" s="188" t="s">
        <v>889</v>
      </c>
      <c r="U9" s="188"/>
    </row>
    <row r="10" spans="1:23">
      <c r="A10" s="343" t="s">
        <v>19</v>
      </c>
      <c r="B10" s="188"/>
      <c r="C10" s="188"/>
      <c r="D10" s="188"/>
      <c r="E10" s="188"/>
      <c r="F10" s="188"/>
      <c r="G10" s="188"/>
      <c r="H10" s="188"/>
      <c r="I10" s="188"/>
      <c r="J10" s="188"/>
      <c r="K10" s="188"/>
      <c r="L10" s="188"/>
      <c r="M10" s="188"/>
      <c r="N10" s="188"/>
      <c r="O10" s="188"/>
      <c r="P10" s="188"/>
      <c r="Q10" s="188"/>
      <c r="R10" s="427" t="s">
        <v>890</v>
      </c>
      <c r="S10" s="428">
        <f>S9*S8</f>
        <v>4.4499999999999998E-2</v>
      </c>
      <c r="T10" s="429" t="s">
        <v>891</v>
      </c>
      <c r="U10" s="188"/>
    </row>
    <row r="11" spans="1:23">
      <c r="A11" s="344"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c r="U11" s="188"/>
      <c r="W11" s="115"/>
    </row>
    <row r="12" spans="1:23">
      <c r="A12" s="188" t="s">
        <v>839</v>
      </c>
      <c r="B12" s="415">
        <v>0.04</v>
      </c>
      <c r="C12" s="188" t="s">
        <v>37</v>
      </c>
      <c r="D12" s="408" t="s">
        <v>2</v>
      </c>
      <c r="E12" s="188" t="s">
        <v>29</v>
      </c>
      <c r="F12" s="188" t="s">
        <v>14</v>
      </c>
      <c r="G12" s="188" t="s">
        <v>30</v>
      </c>
      <c r="H12" s="188">
        <v>1</v>
      </c>
      <c r="I12" s="415">
        <f>B12</f>
        <v>0.04</v>
      </c>
      <c r="J12" s="188" t="s">
        <v>31</v>
      </c>
      <c r="K12" s="188" t="s">
        <v>31</v>
      </c>
      <c r="L12" s="188" t="s">
        <v>31</v>
      </c>
      <c r="M12" s="188" t="s">
        <v>31</v>
      </c>
      <c r="N12" s="188"/>
      <c r="O12" s="401" t="s">
        <v>892</v>
      </c>
      <c r="P12" s="414">
        <f>B12*100</f>
        <v>4</v>
      </c>
      <c r="Q12" s="188"/>
      <c r="R12" s="188" t="s">
        <v>554</v>
      </c>
      <c r="S12" s="188"/>
      <c r="T12" s="188"/>
      <c r="U12" s="410"/>
    </row>
    <row r="13" spans="1:23">
      <c r="A13" s="188" t="s">
        <v>893</v>
      </c>
      <c r="B13" s="415">
        <f>B23</f>
        <v>0.04</v>
      </c>
      <c r="C13" s="188" t="s">
        <v>609</v>
      </c>
      <c r="D13" s="408" t="s">
        <v>2</v>
      </c>
      <c r="E13" s="188" t="s">
        <v>29</v>
      </c>
      <c r="F13" s="188" t="s">
        <v>14</v>
      </c>
      <c r="G13" s="188" t="s">
        <v>33</v>
      </c>
      <c r="H13" s="188">
        <v>1</v>
      </c>
      <c r="I13" s="415">
        <f t="shared" ref="I13:I14" si="0">B13</f>
        <v>0.04</v>
      </c>
      <c r="J13" s="188">
        <v>7.2284161474004766E-2</v>
      </c>
      <c r="K13" s="188" t="s">
        <v>31</v>
      </c>
      <c r="L13" s="188" t="s">
        <v>31</v>
      </c>
      <c r="M13" s="188" t="s">
        <v>31</v>
      </c>
      <c r="N13" s="188"/>
      <c r="O13" s="401" t="s">
        <v>892</v>
      </c>
      <c r="P13" s="414">
        <f>B13*100</f>
        <v>4</v>
      </c>
      <c r="Q13" s="188"/>
      <c r="R13" s="430">
        <v>0.17</v>
      </c>
      <c r="S13" s="431" t="s">
        <v>610</v>
      </c>
      <c r="T13" s="430">
        <f>R13*S10</f>
        <v>7.5650000000000005E-3</v>
      </c>
      <c r="U13" s="431" t="s">
        <v>241</v>
      </c>
    </row>
    <row r="14" spans="1:23">
      <c r="A14" s="192" t="s">
        <v>872</v>
      </c>
      <c r="B14" s="420">
        <v>0.17</v>
      </c>
      <c r="C14" s="188" t="s">
        <v>37</v>
      </c>
      <c r="D14" s="408" t="s">
        <v>2</v>
      </c>
      <c r="E14" s="188" t="s">
        <v>29</v>
      </c>
      <c r="F14" s="37" t="s">
        <v>14</v>
      </c>
      <c r="G14" s="188" t="s">
        <v>33</v>
      </c>
      <c r="H14" s="188">
        <v>1</v>
      </c>
      <c r="I14" s="415">
        <f t="shared" si="0"/>
        <v>0.17</v>
      </c>
      <c r="J14" s="188">
        <v>7.2284161474004766E-2</v>
      </c>
      <c r="K14" s="188" t="s">
        <v>31</v>
      </c>
      <c r="L14" s="188" t="s">
        <v>31</v>
      </c>
      <c r="M14" s="188" t="s">
        <v>31</v>
      </c>
      <c r="N14" s="188"/>
      <c r="O14" s="432"/>
      <c r="P14" s="433"/>
      <c r="Q14" s="188"/>
      <c r="R14" s="188"/>
      <c r="S14" s="188"/>
      <c r="T14" s="188"/>
      <c r="U14" s="188"/>
    </row>
    <row r="15" spans="1:23">
      <c r="A15" s="346" t="s">
        <v>799</v>
      </c>
      <c r="B15" s="188">
        <v>1.3</v>
      </c>
      <c r="C15" s="188" t="s">
        <v>37</v>
      </c>
      <c r="D15" s="188" t="s">
        <v>40</v>
      </c>
      <c r="E15" s="188" t="s">
        <v>29</v>
      </c>
      <c r="F15" s="37" t="s">
        <v>74</v>
      </c>
      <c r="G15" s="188" t="s">
        <v>33</v>
      </c>
      <c r="H15" s="188">
        <v>2</v>
      </c>
      <c r="I15" s="188">
        <f t="shared" ref="I15" si="1">LN(B15)</f>
        <v>0.26236426446749106</v>
      </c>
      <c r="J15" s="188">
        <v>7.2284161474004766E-2</v>
      </c>
      <c r="K15" s="188" t="s">
        <v>31</v>
      </c>
      <c r="L15" s="188" t="s">
        <v>31</v>
      </c>
      <c r="M15" s="188" t="s">
        <v>31</v>
      </c>
      <c r="N15" s="188"/>
      <c r="O15" s="432"/>
      <c r="P15" s="433"/>
      <c r="Q15" s="188"/>
      <c r="R15" s="188"/>
      <c r="S15" s="188"/>
      <c r="T15" s="188"/>
      <c r="U15" s="188"/>
    </row>
    <row r="16" spans="1:23">
      <c r="A16" s="37" t="s">
        <v>874</v>
      </c>
      <c r="B16" s="434">
        <f>T13</f>
        <v>7.5650000000000005E-3</v>
      </c>
      <c r="C16" s="188" t="s">
        <v>37</v>
      </c>
      <c r="D16" s="188" t="s">
        <v>40</v>
      </c>
      <c r="E16" s="188" t="s">
        <v>29</v>
      </c>
      <c r="F16" s="37" t="s">
        <v>59</v>
      </c>
      <c r="G16" s="188" t="s">
        <v>33</v>
      </c>
      <c r="H16" s="188">
        <v>2</v>
      </c>
      <c r="I16" s="188">
        <f>LN(B16)</f>
        <v>-4.8842229317418173</v>
      </c>
      <c r="J16" s="188">
        <v>7.2284161474004766E-2</v>
      </c>
      <c r="K16" s="188" t="s">
        <v>31</v>
      </c>
      <c r="L16" s="188" t="s">
        <v>31</v>
      </c>
      <c r="M16" s="188" t="s">
        <v>31</v>
      </c>
      <c r="N16" s="188"/>
      <c r="O16" s="432"/>
      <c r="P16" s="433"/>
      <c r="Q16" s="188"/>
      <c r="R16" s="188"/>
      <c r="S16" s="188"/>
      <c r="T16" s="188"/>
      <c r="U16" s="188"/>
    </row>
    <row r="17" spans="1:21">
      <c r="A17" s="37" t="s">
        <v>76</v>
      </c>
      <c r="B17" s="188">
        <f>0.001*1.3</f>
        <v>1.3000000000000002E-3</v>
      </c>
      <c r="C17" s="188" t="s">
        <v>42</v>
      </c>
      <c r="D17" s="188" t="s">
        <v>40</v>
      </c>
      <c r="E17" s="188" t="s">
        <v>29</v>
      </c>
      <c r="F17" s="37" t="s">
        <v>74</v>
      </c>
      <c r="G17" s="188" t="s">
        <v>33</v>
      </c>
      <c r="H17" s="188">
        <v>2</v>
      </c>
      <c r="I17" s="188">
        <f t="shared" ref="I17" si="2">LN(B17)</f>
        <v>-6.6453910145146455</v>
      </c>
      <c r="J17" s="188">
        <v>7.2284161474004766E-2</v>
      </c>
      <c r="K17" s="188" t="s">
        <v>31</v>
      </c>
      <c r="L17" s="188" t="s">
        <v>31</v>
      </c>
      <c r="M17" s="188" t="s">
        <v>31</v>
      </c>
      <c r="N17" s="188"/>
      <c r="O17" s="192"/>
      <c r="P17" s="421"/>
      <c r="Q17" s="435"/>
      <c r="R17" s="188"/>
      <c r="S17" s="188"/>
      <c r="T17" s="188"/>
      <c r="U17" s="188"/>
    </row>
    <row r="18" spans="1:21" s="70" customFormat="1">
      <c r="A18" s="370" t="s">
        <v>5</v>
      </c>
      <c r="B18" s="371" t="s">
        <v>893</v>
      </c>
      <c r="C18" s="353"/>
      <c r="D18" s="353"/>
      <c r="E18" s="353"/>
      <c r="F18" s="353"/>
      <c r="G18" s="353"/>
      <c r="H18" s="353"/>
      <c r="I18" s="353"/>
      <c r="J18" s="353"/>
      <c r="K18" s="353"/>
      <c r="L18" s="353"/>
      <c r="M18" s="353"/>
      <c r="N18" s="353"/>
      <c r="O18" s="353"/>
      <c r="P18" s="353"/>
      <c r="Q18" s="353"/>
      <c r="R18" s="353"/>
      <c r="S18" s="353"/>
      <c r="T18" s="353"/>
      <c r="U18" s="353"/>
    </row>
    <row r="19" spans="1:21">
      <c r="A19" s="346" t="s">
        <v>7</v>
      </c>
      <c r="B19" s="188" t="s">
        <v>786</v>
      </c>
      <c r="C19" s="345"/>
      <c r="D19" s="188"/>
      <c r="E19" s="188"/>
      <c r="F19" s="188"/>
      <c r="G19" s="188"/>
      <c r="H19" s="188"/>
      <c r="I19" s="188"/>
      <c r="J19" s="188"/>
      <c r="K19" s="188"/>
      <c r="L19" s="188"/>
      <c r="M19" s="188"/>
      <c r="N19" s="188"/>
      <c r="O19" s="188"/>
      <c r="P19" s="188"/>
      <c r="Q19" s="188"/>
      <c r="R19" s="188"/>
      <c r="S19" s="188"/>
      <c r="T19" s="188"/>
      <c r="U19" s="188"/>
    </row>
    <row r="20" spans="1:21">
      <c r="A20" s="424" t="s">
        <v>9</v>
      </c>
      <c r="B20" s="188" t="s">
        <v>894</v>
      </c>
      <c r="C20" s="345"/>
      <c r="D20" s="188"/>
      <c r="E20" s="188"/>
      <c r="F20" s="188"/>
      <c r="G20" s="188"/>
      <c r="H20" s="188"/>
      <c r="I20" s="188"/>
      <c r="J20" s="188"/>
      <c r="K20" s="188"/>
      <c r="L20" s="188"/>
      <c r="M20" s="188"/>
      <c r="N20" s="188"/>
      <c r="O20" s="188"/>
      <c r="P20" s="188"/>
      <c r="Q20" s="188"/>
      <c r="R20" s="188"/>
      <c r="S20" s="188"/>
      <c r="T20" s="188"/>
      <c r="U20" s="188"/>
    </row>
    <row r="21" spans="1:21" ht="15.75" customHeight="1">
      <c r="A21" s="346" t="s">
        <v>11</v>
      </c>
      <c r="B21" s="347" t="s">
        <v>796</v>
      </c>
      <c r="C21" s="188"/>
      <c r="D21" s="188"/>
      <c r="E21" s="188"/>
      <c r="F21" s="188"/>
      <c r="G21" s="188"/>
      <c r="H21" s="188"/>
      <c r="I21" s="188"/>
      <c r="J21" s="188"/>
      <c r="K21" s="188"/>
      <c r="L21" s="188"/>
      <c r="M21" s="188"/>
      <c r="N21" s="188"/>
      <c r="O21" s="188"/>
      <c r="P21" s="188"/>
      <c r="Q21" s="188"/>
      <c r="R21" s="188"/>
      <c r="S21" s="188"/>
      <c r="T21" s="188"/>
      <c r="U21" s="188"/>
    </row>
    <row r="22" spans="1:21">
      <c r="A22" s="346" t="s">
        <v>13</v>
      </c>
      <c r="B22" s="188" t="s">
        <v>14</v>
      </c>
      <c r="C22" s="188"/>
      <c r="D22" s="188"/>
      <c r="E22" s="188"/>
      <c r="F22" s="188"/>
      <c r="G22" s="188"/>
      <c r="H22" s="188"/>
      <c r="I22" s="188"/>
      <c r="J22" s="188"/>
      <c r="K22" s="188"/>
      <c r="L22" s="188"/>
      <c r="M22" s="188"/>
      <c r="N22" s="188"/>
      <c r="O22" s="188"/>
      <c r="P22" s="188"/>
      <c r="Q22" s="188"/>
      <c r="R22" s="188"/>
      <c r="S22" s="188"/>
      <c r="T22" s="188"/>
      <c r="U22" s="188"/>
    </row>
    <row r="23" spans="1:21">
      <c r="A23" s="346" t="s">
        <v>15</v>
      </c>
      <c r="B23" s="415">
        <f>B28</f>
        <v>0.04</v>
      </c>
      <c r="C23" s="188"/>
      <c r="D23" s="188"/>
      <c r="E23" s="188"/>
      <c r="F23" s="188"/>
      <c r="G23" s="188"/>
      <c r="H23" s="188"/>
      <c r="I23" s="188"/>
      <c r="J23" s="188"/>
      <c r="K23" s="188"/>
      <c r="L23" s="188"/>
      <c r="M23" s="188"/>
      <c r="N23" s="188"/>
      <c r="O23" s="188"/>
      <c r="P23" s="188"/>
      <c r="Q23" s="188"/>
      <c r="R23" s="188"/>
      <c r="S23" s="188"/>
      <c r="T23" s="188"/>
      <c r="U23" s="188"/>
    </row>
    <row r="24" spans="1:21">
      <c r="A24" s="346" t="s">
        <v>16</v>
      </c>
      <c r="B24" s="188" t="s">
        <v>17</v>
      </c>
      <c r="C24" s="188"/>
      <c r="D24" s="188"/>
      <c r="E24" s="188"/>
      <c r="F24" s="188"/>
      <c r="G24" s="188"/>
      <c r="H24" s="188"/>
      <c r="I24" s="188"/>
      <c r="J24" s="188"/>
      <c r="K24" s="188"/>
      <c r="L24" s="188"/>
      <c r="M24" s="188"/>
      <c r="N24" s="188"/>
      <c r="O24" s="188"/>
      <c r="P24" s="188"/>
      <c r="Q24" s="188"/>
      <c r="R24" s="188"/>
      <c r="S24" s="188"/>
      <c r="T24" s="188"/>
      <c r="U24" s="188"/>
    </row>
    <row r="25" spans="1:21">
      <c r="A25" s="346" t="s">
        <v>18</v>
      </c>
      <c r="B25" s="188" t="s">
        <v>609</v>
      </c>
      <c r="C25" s="188"/>
      <c r="D25" s="188"/>
      <c r="E25" s="188"/>
      <c r="F25" s="188"/>
      <c r="G25" s="188"/>
      <c r="H25" s="188"/>
      <c r="I25" s="188"/>
      <c r="J25" s="188"/>
      <c r="K25" s="188"/>
      <c r="L25" s="188"/>
      <c r="M25" s="188"/>
      <c r="N25" s="188"/>
      <c r="O25" s="188"/>
      <c r="P25" s="188"/>
      <c r="Q25" s="188"/>
      <c r="R25" s="188"/>
      <c r="S25" s="188"/>
      <c r="T25" s="188"/>
      <c r="U25" s="188"/>
    </row>
    <row r="26" spans="1:21">
      <c r="A26" s="343" t="s">
        <v>19</v>
      </c>
      <c r="B26" s="188"/>
      <c r="C26" s="188"/>
      <c r="D26" s="188"/>
      <c r="E26" s="188"/>
      <c r="F26" s="188"/>
      <c r="G26" s="188"/>
      <c r="H26" s="188"/>
      <c r="I26" s="188"/>
      <c r="J26" s="188"/>
      <c r="K26" s="188"/>
      <c r="L26" s="188"/>
      <c r="M26" s="188"/>
      <c r="N26" s="188"/>
      <c r="O26" s="188"/>
      <c r="P26" s="188"/>
      <c r="Q26" s="188"/>
      <c r="R26" s="188"/>
      <c r="S26" s="188"/>
      <c r="T26" s="188"/>
      <c r="U26" s="188"/>
    </row>
    <row r="27" spans="1:21">
      <c r="A27" s="344"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c r="O27" s="188"/>
      <c r="P27" s="188"/>
      <c r="Q27" s="188"/>
      <c r="R27" s="188"/>
      <c r="S27" s="188"/>
      <c r="T27" s="415"/>
      <c r="U27" s="188"/>
    </row>
    <row r="28" spans="1:21">
      <c r="A28" s="188" t="s">
        <v>893</v>
      </c>
      <c r="B28" s="415">
        <v>0.04</v>
      </c>
      <c r="C28" s="188" t="s">
        <v>609</v>
      </c>
      <c r="D28" s="408" t="s">
        <v>2</v>
      </c>
      <c r="E28" s="188" t="s">
        <v>29</v>
      </c>
      <c r="F28" s="188" t="s">
        <v>14</v>
      </c>
      <c r="G28" s="188" t="s">
        <v>30</v>
      </c>
      <c r="H28" s="188">
        <v>1</v>
      </c>
      <c r="I28" s="415">
        <f>B28</f>
        <v>0.04</v>
      </c>
      <c r="J28" s="188">
        <v>7.2284161474004766E-2</v>
      </c>
      <c r="K28" s="188" t="s">
        <v>31</v>
      </c>
      <c r="L28" s="188" t="s">
        <v>31</v>
      </c>
      <c r="M28" s="188" t="s">
        <v>31</v>
      </c>
      <c r="N28" s="188"/>
      <c r="O28" s="401" t="s">
        <v>892</v>
      </c>
      <c r="P28" s="414">
        <f>B28*100</f>
        <v>4</v>
      </c>
      <c r="Q28" s="188"/>
      <c r="R28" s="188"/>
      <c r="S28" s="188"/>
      <c r="T28" s="188"/>
      <c r="U28" s="188"/>
    </row>
    <row r="29" spans="1:21">
      <c r="A29" s="188" t="s">
        <v>895</v>
      </c>
      <c r="B29" s="415">
        <v>0.04</v>
      </c>
      <c r="C29" s="188" t="s">
        <v>609</v>
      </c>
      <c r="D29" s="408" t="s">
        <v>2</v>
      </c>
      <c r="E29" s="188" t="s">
        <v>29</v>
      </c>
      <c r="F29" s="188" t="s">
        <v>14</v>
      </c>
      <c r="G29" s="188" t="s">
        <v>33</v>
      </c>
      <c r="H29" s="188">
        <v>1</v>
      </c>
      <c r="I29" s="415">
        <f>B29</f>
        <v>0.04</v>
      </c>
      <c r="J29" s="188">
        <v>7.2284161474004766E-2</v>
      </c>
      <c r="K29" s="188" t="s">
        <v>31</v>
      </c>
      <c r="L29" s="188" t="s">
        <v>31</v>
      </c>
      <c r="M29" s="188" t="s">
        <v>31</v>
      </c>
      <c r="N29" s="188"/>
      <c r="O29" s="188"/>
      <c r="P29" s="188"/>
      <c r="Q29" s="188"/>
      <c r="R29" s="188"/>
      <c r="S29" s="188"/>
      <c r="T29" s="188"/>
      <c r="U29" s="188"/>
    </row>
    <row r="30" spans="1:21">
      <c r="A30" s="346" t="s">
        <v>269</v>
      </c>
      <c r="B30" s="350">
        <f>P30</f>
        <v>0.09</v>
      </c>
      <c r="C30" s="188" t="s">
        <v>39</v>
      </c>
      <c r="D30" s="188" t="s">
        <v>40</v>
      </c>
      <c r="E30" s="188" t="s">
        <v>29</v>
      </c>
      <c r="F30" s="37" t="s">
        <v>35</v>
      </c>
      <c r="G30" s="188" t="s">
        <v>33</v>
      </c>
      <c r="H30" s="188">
        <v>2</v>
      </c>
      <c r="I30" s="188">
        <f t="shared" ref="I30:I34" si="3">LN(B30)</f>
        <v>-2.4079456086518722</v>
      </c>
      <c r="J30" s="188">
        <v>0.20928449536456342</v>
      </c>
      <c r="K30" s="188" t="s">
        <v>31</v>
      </c>
      <c r="L30" s="188" t="s">
        <v>31</v>
      </c>
      <c r="M30" s="188" t="s">
        <v>31</v>
      </c>
      <c r="N30" s="188"/>
      <c r="O30" s="401" t="s">
        <v>248</v>
      </c>
      <c r="P30" s="414">
        <v>0.09</v>
      </c>
      <c r="Q30" s="188"/>
      <c r="R30" s="188"/>
      <c r="S30" s="188"/>
      <c r="T30" s="188"/>
      <c r="U30" s="188"/>
    </row>
    <row r="31" spans="1:21">
      <c r="A31" s="412" t="s">
        <v>310</v>
      </c>
      <c r="B31" s="188">
        <f>R31</f>
        <v>2E-3</v>
      </c>
      <c r="C31" s="188" t="s">
        <v>37</v>
      </c>
      <c r="D31" s="188" t="s">
        <v>40</v>
      </c>
      <c r="E31" s="188" t="s">
        <v>29</v>
      </c>
      <c r="F31" s="37" t="s">
        <v>59</v>
      </c>
      <c r="G31" s="188" t="s">
        <v>33</v>
      </c>
      <c r="H31" s="188">
        <v>2</v>
      </c>
      <c r="I31" s="188">
        <f>LN(B31)</f>
        <v>-6.2146080984221914</v>
      </c>
      <c r="J31" s="413">
        <v>7.2284161474004766E-2</v>
      </c>
      <c r="K31" s="188" t="s">
        <v>31</v>
      </c>
      <c r="L31" s="188" t="s">
        <v>31</v>
      </c>
      <c r="M31" s="188" t="s">
        <v>31</v>
      </c>
      <c r="N31" s="188"/>
      <c r="O31" s="401" t="s">
        <v>580</v>
      </c>
      <c r="P31" s="414">
        <v>2</v>
      </c>
      <c r="Q31" s="188" t="s">
        <v>241</v>
      </c>
      <c r="R31" s="188">
        <f>P31*0.001</f>
        <v>2E-3</v>
      </c>
      <c r="S31" s="188"/>
      <c r="T31" s="188"/>
    </row>
    <row r="32" spans="1:21">
      <c r="A32" s="412" t="s">
        <v>871</v>
      </c>
      <c r="B32" s="188">
        <f>R32</f>
        <v>4.0000000000000001E-3</v>
      </c>
      <c r="C32" s="188" t="s">
        <v>37</v>
      </c>
      <c r="D32" s="188" t="s">
        <v>40</v>
      </c>
      <c r="E32" s="188" t="s">
        <v>29</v>
      </c>
      <c r="F32" s="37" t="s">
        <v>35</v>
      </c>
      <c r="G32" s="188" t="s">
        <v>33</v>
      </c>
      <c r="H32" s="188">
        <v>2</v>
      </c>
      <c r="I32" s="188">
        <f>LN(B32)</f>
        <v>-5.521460917862246</v>
      </c>
      <c r="J32" s="413">
        <v>7.2284161474004766E-2</v>
      </c>
      <c r="K32" s="188" t="s">
        <v>31</v>
      </c>
      <c r="L32" s="188" t="s">
        <v>31</v>
      </c>
      <c r="M32" s="188" t="s">
        <v>31</v>
      </c>
      <c r="N32" s="188"/>
      <c r="O32" s="401" t="s">
        <v>580</v>
      </c>
      <c r="P32" s="414">
        <v>4</v>
      </c>
      <c r="Q32" s="188" t="s">
        <v>241</v>
      </c>
      <c r="R32" s="188">
        <f>P32*0.001</f>
        <v>4.0000000000000001E-3</v>
      </c>
      <c r="S32" s="188"/>
      <c r="T32" s="188"/>
    </row>
    <row r="33" spans="1:21">
      <c r="A33" s="346" t="s">
        <v>799</v>
      </c>
      <c r="B33" s="188">
        <f>P33</f>
        <v>3.4</v>
      </c>
      <c r="C33" s="188" t="s">
        <v>37</v>
      </c>
      <c r="D33" s="188" t="s">
        <v>40</v>
      </c>
      <c r="E33" s="188" t="s">
        <v>29</v>
      </c>
      <c r="F33" s="37" t="s">
        <v>74</v>
      </c>
      <c r="G33" s="188" t="s">
        <v>33</v>
      </c>
      <c r="H33" s="188">
        <v>2</v>
      </c>
      <c r="I33" s="188">
        <f t="shared" si="3"/>
        <v>1.2237754316221157</v>
      </c>
      <c r="J33" s="188">
        <v>0.20928449536456342</v>
      </c>
      <c r="K33" s="188" t="s">
        <v>31</v>
      </c>
      <c r="L33" s="188" t="s">
        <v>31</v>
      </c>
      <c r="M33" s="188" t="s">
        <v>31</v>
      </c>
      <c r="N33" s="188"/>
      <c r="O33" s="188" t="s">
        <v>241</v>
      </c>
      <c r="P33" s="414">
        <v>3.4</v>
      </c>
      <c r="R33" s="188"/>
      <c r="S33" s="188"/>
      <c r="T33" s="188"/>
      <c r="U33" s="188"/>
    </row>
    <row r="34" spans="1:21">
      <c r="A34" s="37" t="s">
        <v>76</v>
      </c>
      <c r="B34" s="188">
        <f>3.4*0.0001</f>
        <v>3.4000000000000002E-4</v>
      </c>
      <c r="C34" s="188" t="s">
        <v>42</v>
      </c>
      <c r="D34" s="188" t="s">
        <v>40</v>
      </c>
      <c r="E34" s="188" t="s">
        <v>29</v>
      </c>
      <c r="F34" s="37" t="s">
        <v>74</v>
      </c>
      <c r="G34" s="188" t="s">
        <v>33</v>
      </c>
      <c r="H34" s="188">
        <v>2</v>
      </c>
      <c r="I34" s="188">
        <f t="shared" si="3"/>
        <v>-7.9865649403540671</v>
      </c>
      <c r="J34" s="188">
        <v>7.2284161474004766E-2</v>
      </c>
      <c r="K34" s="188" t="s">
        <v>31</v>
      </c>
      <c r="L34" s="188" t="s">
        <v>31</v>
      </c>
      <c r="M34" s="188" t="s">
        <v>31</v>
      </c>
      <c r="N34" s="188"/>
      <c r="O34" s="192"/>
      <c r="P34" s="421"/>
      <c r="Q34" s="435"/>
      <c r="R34" s="188"/>
      <c r="S34" s="188"/>
      <c r="T34" s="188"/>
      <c r="U34" s="188"/>
    </row>
    <row r="35" spans="1:21" s="70" customFormat="1">
      <c r="A35" s="370" t="s">
        <v>5</v>
      </c>
      <c r="B35" s="371" t="s">
        <v>895</v>
      </c>
      <c r="C35" s="353"/>
      <c r="D35" s="353"/>
      <c r="E35" s="353"/>
      <c r="F35" s="353"/>
      <c r="G35" s="353"/>
      <c r="H35" s="353"/>
      <c r="I35" s="353"/>
      <c r="J35" s="353"/>
      <c r="K35" s="353"/>
      <c r="L35" s="353"/>
      <c r="M35" s="353"/>
      <c r="N35" s="353"/>
      <c r="O35" s="353"/>
      <c r="P35" s="353"/>
      <c r="Q35" s="353"/>
      <c r="R35" s="353"/>
      <c r="S35" s="353"/>
      <c r="T35" s="353"/>
      <c r="U35" s="353"/>
    </row>
    <row r="36" spans="1:21">
      <c r="A36" s="346" t="s">
        <v>7</v>
      </c>
      <c r="B36" s="188" t="s">
        <v>786</v>
      </c>
      <c r="C36" s="345"/>
      <c r="D36" s="188"/>
      <c r="E36" s="188"/>
      <c r="F36" s="188"/>
      <c r="G36" s="188"/>
      <c r="H36" s="188"/>
      <c r="I36" s="188"/>
      <c r="J36" s="188"/>
      <c r="K36" s="188"/>
      <c r="L36" s="188"/>
      <c r="M36" s="188"/>
      <c r="N36" s="188"/>
      <c r="O36" s="188"/>
      <c r="P36" s="188"/>
      <c r="Q36" s="188"/>
      <c r="R36" s="188"/>
      <c r="S36" s="188"/>
      <c r="T36" s="188"/>
      <c r="U36" s="188"/>
    </row>
    <row r="37" spans="1:21">
      <c r="A37" s="424" t="s">
        <v>9</v>
      </c>
      <c r="B37" s="188" t="s">
        <v>896</v>
      </c>
      <c r="C37" s="345"/>
      <c r="D37" s="188"/>
      <c r="E37" s="188"/>
      <c r="F37" s="188"/>
      <c r="G37" s="188"/>
      <c r="H37" s="188"/>
      <c r="I37" s="188"/>
      <c r="J37" s="188"/>
      <c r="K37" s="188"/>
      <c r="L37" s="188"/>
      <c r="M37" s="188"/>
      <c r="N37" s="188"/>
      <c r="O37" s="188"/>
      <c r="P37" s="188"/>
      <c r="Q37" s="188"/>
      <c r="R37" s="188"/>
      <c r="S37" s="188"/>
      <c r="T37" s="188"/>
      <c r="U37" s="188"/>
    </row>
    <row r="38" spans="1:21" ht="15.75" customHeight="1">
      <c r="A38" s="346" t="s">
        <v>11</v>
      </c>
      <c r="B38" s="347" t="s">
        <v>796</v>
      </c>
      <c r="C38" s="188"/>
      <c r="D38" s="188"/>
      <c r="E38" s="188"/>
      <c r="F38" s="188"/>
      <c r="G38" s="188"/>
      <c r="H38" s="188"/>
      <c r="I38" s="188"/>
      <c r="J38" s="188"/>
      <c r="K38" s="188"/>
      <c r="L38" s="188"/>
      <c r="M38" s="188"/>
      <c r="N38" s="188"/>
      <c r="O38" s="188"/>
      <c r="P38" s="188"/>
      <c r="Q38" s="188"/>
      <c r="R38" s="188"/>
      <c r="S38" s="188"/>
      <c r="T38" s="188"/>
      <c r="U38" s="188"/>
    </row>
    <row r="39" spans="1:21">
      <c r="A39" s="346" t="s">
        <v>13</v>
      </c>
      <c r="B39" s="188" t="s">
        <v>14</v>
      </c>
      <c r="C39" s="188"/>
      <c r="D39" s="188"/>
      <c r="E39" s="188"/>
      <c r="F39" s="188"/>
      <c r="G39" s="188"/>
      <c r="H39" s="188"/>
      <c r="I39" s="188"/>
      <c r="J39" s="188"/>
      <c r="K39" s="188"/>
      <c r="L39" s="188"/>
      <c r="M39" s="188"/>
      <c r="N39" s="188"/>
      <c r="O39" s="188"/>
      <c r="P39" s="188"/>
      <c r="Q39" s="188"/>
      <c r="R39" s="188"/>
      <c r="S39" s="188"/>
      <c r="T39" s="188"/>
      <c r="U39" s="188"/>
    </row>
    <row r="40" spans="1:21">
      <c r="A40" s="346" t="s">
        <v>15</v>
      </c>
      <c r="B40" s="415">
        <f>B45</f>
        <v>0.04</v>
      </c>
      <c r="C40" s="188"/>
      <c r="D40" s="188"/>
      <c r="E40" s="188"/>
      <c r="F40" s="188"/>
      <c r="G40" s="188"/>
      <c r="H40" s="188"/>
      <c r="I40" s="188"/>
      <c r="J40" s="188"/>
      <c r="K40" s="188"/>
      <c r="L40" s="188"/>
      <c r="M40" s="188"/>
      <c r="N40" s="188"/>
      <c r="O40" s="188"/>
      <c r="P40" s="188"/>
      <c r="Q40" s="188"/>
      <c r="R40" s="188"/>
      <c r="S40" s="188"/>
      <c r="T40" s="188"/>
      <c r="U40" s="188"/>
    </row>
    <row r="41" spans="1:21">
      <c r="A41" s="346" t="s">
        <v>16</v>
      </c>
      <c r="B41" s="188" t="s">
        <v>17</v>
      </c>
      <c r="C41" s="188"/>
      <c r="D41" s="188"/>
      <c r="E41" s="188"/>
      <c r="F41" s="188"/>
      <c r="G41" s="188"/>
      <c r="H41" s="188"/>
      <c r="I41" s="188"/>
      <c r="J41" s="188"/>
      <c r="K41" s="188"/>
      <c r="L41" s="188"/>
      <c r="M41" s="188"/>
      <c r="N41" s="188"/>
      <c r="O41" s="188"/>
      <c r="P41" s="188"/>
      <c r="Q41" s="188"/>
      <c r="R41" s="188"/>
      <c r="S41" s="188"/>
      <c r="T41" s="188"/>
      <c r="U41" s="188"/>
    </row>
    <row r="42" spans="1:21">
      <c r="A42" s="346" t="s">
        <v>18</v>
      </c>
      <c r="B42" s="188" t="s">
        <v>609</v>
      </c>
      <c r="C42" s="188"/>
      <c r="D42" s="188"/>
      <c r="E42" s="188"/>
      <c r="F42" s="188"/>
      <c r="G42" s="188"/>
      <c r="H42" s="188"/>
      <c r="I42" s="188"/>
      <c r="J42" s="188"/>
      <c r="K42" s="188"/>
      <c r="L42" s="188"/>
      <c r="M42" s="188"/>
      <c r="N42" s="188"/>
      <c r="O42" s="188"/>
      <c r="P42" s="188"/>
      <c r="Q42" s="188"/>
      <c r="R42" s="188"/>
      <c r="S42" s="188"/>
      <c r="T42" s="188"/>
      <c r="U42" s="188"/>
    </row>
    <row r="43" spans="1:21">
      <c r="A43" s="343" t="s">
        <v>19</v>
      </c>
      <c r="B43" s="188"/>
      <c r="C43" s="188"/>
      <c r="D43" s="188"/>
      <c r="E43" s="188"/>
      <c r="F43" s="188"/>
      <c r="G43" s="188"/>
      <c r="H43" s="188"/>
      <c r="I43" s="188"/>
      <c r="J43" s="188"/>
      <c r="K43" s="188"/>
      <c r="L43" s="188"/>
      <c r="M43" s="188"/>
      <c r="N43" s="188"/>
      <c r="O43" s="188"/>
      <c r="P43" s="188"/>
      <c r="Q43" s="188"/>
      <c r="R43" s="188"/>
      <c r="S43" s="188"/>
      <c r="T43" s="188"/>
      <c r="U43" s="188"/>
    </row>
    <row r="44" spans="1:21">
      <c r="A44" s="344" t="s">
        <v>20</v>
      </c>
      <c r="B44" s="344" t="s">
        <v>21</v>
      </c>
      <c r="C44" s="344" t="s">
        <v>18</v>
      </c>
      <c r="D44" s="344" t="s">
        <v>22</v>
      </c>
      <c r="E44" s="344" t="s">
        <v>7</v>
      </c>
      <c r="F44" s="344" t="s">
        <v>13</v>
      </c>
      <c r="G44" s="344" t="s">
        <v>16</v>
      </c>
      <c r="H44" s="344" t="s">
        <v>23</v>
      </c>
      <c r="I44" s="344" t="s">
        <v>24</v>
      </c>
      <c r="J44" s="344" t="s">
        <v>25</v>
      </c>
      <c r="K44" s="344" t="s">
        <v>26</v>
      </c>
      <c r="L44" s="344" t="s">
        <v>27</v>
      </c>
      <c r="M44" s="344" t="s">
        <v>28</v>
      </c>
      <c r="N44" s="344" t="s">
        <v>11</v>
      </c>
      <c r="O44" s="188"/>
      <c r="P44" s="188"/>
      <c r="Q44" s="188"/>
      <c r="R44" s="188"/>
      <c r="S44" s="188"/>
      <c r="T44" s="415"/>
      <c r="U44" s="188"/>
    </row>
    <row r="45" spans="1:21">
      <c r="A45" s="188" t="s">
        <v>895</v>
      </c>
      <c r="B45" s="415">
        <f>B29</f>
        <v>0.04</v>
      </c>
      <c r="C45" s="188" t="s">
        <v>609</v>
      </c>
      <c r="D45" s="408" t="s">
        <v>2</v>
      </c>
      <c r="E45" s="188" t="s">
        <v>29</v>
      </c>
      <c r="F45" s="188" t="s">
        <v>14</v>
      </c>
      <c r="G45" s="188" t="s">
        <v>30</v>
      </c>
      <c r="H45" s="188">
        <v>1</v>
      </c>
      <c r="I45" s="415">
        <f>B45</f>
        <v>0.04</v>
      </c>
      <c r="J45" s="188" t="s">
        <v>31</v>
      </c>
      <c r="K45" s="188" t="s">
        <v>31</v>
      </c>
      <c r="L45" s="188" t="s">
        <v>31</v>
      </c>
      <c r="M45" s="188" t="s">
        <v>31</v>
      </c>
      <c r="N45" s="188"/>
      <c r="O45" s="188"/>
      <c r="P45" s="188"/>
      <c r="Q45" s="188"/>
      <c r="R45" s="188"/>
      <c r="S45" s="188"/>
      <c r="T45" s="188"/>
      <c r="U45" s="188"/>
    </row>
    <row r="46" spans="1:21">
      <c r="A46" s="37" t="s">
        <v>897</v>
      </c>
      <c r="B46" s="188">
        <v>0.5</v>
      </c>
      <c r="C46" s="188" t="s">
        <v>37</v>
      </c>
      <c r="D46" s="188" t="s">
        <v>40</v>
      </c>
      <c r="E46" s="188" t="s">
        <v>29</v>
      </c>
      <c r="F46" s="188" t="s">
        <v>82</v>
      </c>
      <c r="G46" s="188" t="s">
        <v>33</v>
      </c>
      <c r="H46" s="188">
        <v>1</v>
      </c>
      <c r="I46" s="415">
        <f t="shared" ref="I46:I47" si="4">B46</f>
        <v>0.5</v>
      </c>
      <c r="J46" s="188" t="s">
        <v>31</v>
      </c>
      <c r="K46" s="188" t="s">
        <v>31</v>
      </c>
      <c r="L46" s="188" t="s">
        <v>31</v>
      </c>
      <c r="M46" s="188" t="s">
        <v>31</v>
      </c>
      <c r="N46" s="188"/>
      <c r="O46" s="188"/>
      <c r="P46" s="188"/>
      <c r="Q46" s="188"/>
      <c r="R46" s="188"/>
      <c r="S46" s="188"/>
      <c r="T46" s="188"/>
      <c r="U46" s="188"/>
    </row>
    <row r="47" spans="1:21">
      <c r="A47" s="37" t="s">
        <v>898</v>
      </c>
      <c r="B47" s="188">
        <v>0.5</v>
      </c>
      <c r="C47" s="188" t="s">
        <v>37</v>
      </c>
      <c r="D47" s="188" t="s">
        <v>40</v>
      </c>
      <c r="E47" s="188" t="s">
        <v>29</v>
      </c>
      <c r="F47" s="188" t="s">
        <v>59</v>
      </c>
      <c r="G47" s="188" t="s">
        <v>33</v>
      </c>
      <c r="H47" s="188">
        <v>1</v>
      </c>
      <c r="I47" s="415">
        <f t="shared" si="4"/>
        <v>0.5</v>
      </c>
      <c r="J47" s="188" t="s">
        <v>31</v>
      </c>
      <c r="K47" s="188" t="s">
        <v>31</v>
      </c>
      <c r="L47" s="188" t="s">
        <v>31</v>
      </c>
      <c r="M47" s="188" t="s">
        <v>31</v>
      </c>
      <c r="N47" s="188"/>
      <c r="O47" s="188"/>
      <c r="P47" s="188"/>
      <c r="Q47" s="188"/>
      <c r="R47" s="188"/>
      <c r="S47" s="188"/>
      <c r="T47" s="188"/>
      <c r="U47" s="188"/>
    </row>
  </sheetData>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69B02-7A02-4536-9D7D-AE03389136AB}">
  <sheetPr>
    <tabColor theme="9"/>
  </sheetPr>
  <dimension ref="A1:Y57"/>
  <sheetViews>
    <sheetView topLeftCell="A30" zoomScale="85" zoomScaleNormal="85" workbookViewId="0">
      <selection activeCell="A12" sqref="A12"/>
    </sheetView>
  </sheetViews>
  <sheetFormatPr defaultRowHeight="14.45"/>
  <cols>
    <col min="1" max="1" width="74" customWidth="1"/>
    <col min="5" max="5" width="34.28515625" customWidth="1"/>
    <col min="6" max="6" width="16.7109375" customWidth="1"/>
    <col min="8" max="8" width="14.28515625" customWidth="1"/>
  </cols>
  <sheetData>
    <row r="1" spans="1:21">
      <c r="A1" s="188" t="s">
        <v>0</v>
      </c>
      <c r="B1" s="188">
        <v>14</v>
      </c>
      <c r="C1" s="188"/>
      <c r="D1" s="188"/>
      <c r="E1" s="188"/>
      <c r="F1" s="188"/>
      <c r="G1" s="188"/>
      <c r="H1" s="188"/>
      <c r="I1" s="188"/>
      <c r="J1" s="188"/>
      <c r="K1" s="188"/>
      <c r="L1" s="188"/>
      <c r="M1" s="188"/>
      <c r="N1" s="188"/>
      <c r="O1" s="188"/>
      <c r="P1" s="188"/>
      <c r="Q1" s="188"/>
      <c r="R1" s="192"/>
      <c r="S1" s="421"/>
    </row>
    <row r="2" spans="1:21" s="70" customFormat="1">
      <c r="A2" s="370" t="s">
        <v>5</v>
      </c>
      <c r="B2" s="371" t="s">
        <v>845</v>
      </c>
      <c r="C2" s="371"/>
      <c r="D2" s="353"/>
      <c r="E2" s="353"/>
      <c r="F2" s="353"/>
      <c r="G2" s="353"/>
      <c r="H2" s="353"/>
      <c r="I2" s="353"/>
      <c r="J2" s="353"/>
      <c r="K2" s="353"/>
      <c r="L2" s="353"/>
      <c r="M2" s="353"/>
      <c r="N2" s="353"/>
      <c r="O2" s="353"/>
      <c r="P2" s="353"/>
      <c r="Q2" s="353"/>
      <c r="R2" s="436"/>
      <c r="S2" s="437"/>
    </row>
    <row r="3" spans="1:21">
      <c r="A3" s="346" t="s">
        <v>7</v>
      </c>
      <c r="B3" s="188" t="s">
        <v>786</v>
      </c>
      <c r="C3" s="188"/>
      <c r="D3" s="345"/>
      <c r="E3" s="188"/>
      <c r="F3" s="188"/>
      <c r="G3" s="188"/>
      <c r="H3" s="188"/>
      <c r="I3" s="188"/>
      <c r="J3" s="188"/>
      <c r="K3" s="188"/>
      <c r="L3" s="188"/>
      <c r="M3" s="188"/>
      <c r="N3" s="188"/>
      <c r="O3" s="188"/>
      <c r="P3" s="188"/>
      <c r="Q3" s="188"/>
      <c r="R3" s="192"/>
      <c r="S3" s="421"/>
    </row>
    <row r="4" spans="1:21">
      <c r="A4" s="424" t="s">
        <v>9</v>
      </c>
      <c r="B4" s="188" t="s">
        <v>899</v>
      </c>
      <c r="C4" s="188"/>
      <c r="D4" s="345"/>
      <c r="E4" s="188"/>
      <c r="F4" s="188"/>
      <c r="G4" s="188"/>
      <c r="H4" s="188"/>
      <c r="I4" s="188"/>
      <c r="J4" s="188"/>
      <c r="K4" s="188"/>
      <c r="L4" s="188"/>
      <c r="M4" s="188"/>
      <c r="N4" s="188"/>
      <c r="O4" s="188"/>
      <c r="P4" s="188"/>
      <c r="Q4" s="188"/>
      <c r="R4" s="188"/>
      <c r="S4" s="188"/>
    </row>
    <row r="5" spans="1:21" ht="15.75" customHeight="1">
      <c r="A5" s="346" t="s">
        <v>11</v>
      </c>
      <c r="B5" s="347" t="s">
        <v>796</v>
      </c>
      <c r="C5" s="347"/>
      <c r="D5" s="188"/>
      <c r="E5" s="188"/>
      <c r="F5" s="188"/>
      <c r="G5" s="188"/>
      <c r="H5" s="188"/>
      <c r="I5" s="188"/>
      <c r="J5" s="188"/>
      <c r="K5" s="188"/>
      <c r="L5" s="188"/>
      <c r="M5" s="188"/>
      <c r="N5" s="188"/>
      <c r="O5" s="188"/>
      <c r="P5" s="188"/>
      <c r="Q5" s="188"/>
      <c r="R5" s="188"/>
      <c r="S5" s="188"/>
    </row>
    <row r="6" spans="1:21">
      <c r="A6" s="346" t="s">
        <v>13</v>
      </c>
      <c r="B6" s="188" t="s">
        <v>14</v>
      </c>
      <c r="C6" s="188"/>
      <c r="D6" s="188"/>
      <c r="E6" s="188"/>
      <c r="F6" s="188"/>
      <c r="G6" s="188"/>
      <c r="H6" s="188"/>
      <c r="I6" s="188"/>
      <c r="J6" s="188"/>
      <c r="K6" s="188"/>
      <c r="L6" s="188"/>
      <c r="M6" s="188"/>
      <c r="N6" s="188"/>
      <c r="O6" s="188"/>
      <c r="P6" s="188"/>
      <c r="Q6" s="188"/>
      <c r="R6" s="188"/>
      <c r="S6" s="188"/>
    </row>
    <row r="7" spans="1:21">
      <c r="A7" s="346" t="s">
        <v>15</v>
      </c>
      <c r="B7" s="358">
        <f>B48</f>
        <v>3.15</v>
      </c>
      <c r="C7" s="358"/>
      <c r="D7" s="188"/>
      <c r="E7" s="188"/>
      <c r="F7" s="188"/>
      <c r="G7" s="188"/>
      <c r="H7" s="188"/>
      <c r="I7" s="188"/>
      <c r="J7" s="188"/>
      <c r="K7" s="188"/>
      <c r="L7" s="188"/>
      <c r="M7" s="188"/>
      <c r="N7" s="188"/>
      <c r="O7" s="188"/>
      <c r="P7" s="188"/>
      <c r="Q7" s="188"/>
      <c r="R7" s="188"/>
      <c r="S7" s="188"/>
    </row>
    <row r="8" spans="1:21">
      <c r="A8" s="346" t="s">
        <v>16</v>
      </c>
      <c r="B8" s="188" t="s">
        <v>17</v>
      </c>
      <c r="C8" s="188"/>
      <c r="D8" s="188"/>
      <c r="E8" s="188"/>
      <c r="F8" s="188"/>
      <c r="G8" s="188"/>
      <c r="H8" s="188"/>
      <c r="I8" s="188"/>
      <c r="J8" s="188"/>
      <c r="K8" s="188"/>
      <c r="L8" s="188"/>
      <c r="M8" s="188"/>
      <c r="N8" s="188"/>
      <c r="O8" s="188"/>
      <c r="P8" s="188"/>
      <c r="Q8" s="188"/>
      <c r="R8" s="188"/>
      <c r="S8" s="188"/>
    </row>
    <row r="9" spans="1:21">
      <c r="A9" s="346" t="s">
        <v>18</v>
      </c>
      <c r="B9" s="188" t="s">
        <v>37</v>
      </c>
      <c r="C9" s="188"/>
      <c r="D9" s="188"/>
      <c r="E9" s="188"/>
      <c r="F9" s="188"/>
      <c r="G9" s="188"/>
      <c r="H9" s="188"/>
      <c r="I9" s="188"/>
      <c r="J9" s="188"/>
      <c r="K9" s="188"/>
      <c r="L9" s="188"/>
      <c r="M9" s="188"/>
      <c r="N9" s="188"/>
      <c r="O9" s="188"/>
      <c r="P9" s="188"/>
      <c r="Q9" s="188"/>
      <c r="R9" s="188"/>
      <c r="S9" s="188"/>
    </row>
    <row r="10" spans="1:21">
      <c r="A10" s="343" t="s">
        <v>19</v>
      </c>
      <c r="B10" s="188"/>
      <c r="C10" s="188"/>
      <c r="D10" s="188"/>
      <c r="E10" s="188"/>
      <c r="F10" s="188"/>
      <c r="G10" s="188"/>
      <c r="H10" s="188"/>
      <c r="I10" s="188"/>
      <c r="J10" s="188"/>
      <c r="K10" s="188"/>
      <c r="L10" s="188"/>
      <c r="M10" s="188"/>
      <c r="N10" s="188"/>
      <c r="O10" s="188"/>
      <c r="P10" s="188"/>
      <c r="Q10" s="188"/>
      <c r="R10" s="188"/>
      <c r="S10" s="188"/>
    </row>
    <row r="11" spans="1:21">
      <c r="A11" s="344" t="s">
        <v>20</v>
      </c>
      <c r="B11" s="344" t="s">
        <v>21</v>
      </c>
      <c r="C11" s="382" t="s">
        <v>217</v>
      </c>
      <c r="D11" s="344" t="s">
        <v>18</v>
      </c>
      <c r="E11" s="344" t="s">
        <v>22</v>
      </c>
      <c r="F11" s="344" t="s">
        <v>7</v>
      </c>
      <c r="G11" s="344" t="s">
        <v>13</v>
      </c>
      <c r="H11" s="344" t="s">
        <v>16</v>
      </c>
      <c r="I11" s="344" t="s">
        <v>23</v>
      </c>
      <c r="J11" s="344" t="s">
        <v>24</v>
      </c>
      <c r="K11" s="344" t="s">
        <v>25</v>
      </c>
      <c r="L11" s="344" t="s">
        <v>26</v>
      </c>
      <c r="M11" s="344" t="s">
        <v>27</v>
      </c>
      <c r="N11" s="344" t="s">
        <v>28</v>
      </c>
      <c r="O11" s="344" t="s">
        <v>11</v>
      </c>
      <c r="P11" s="188"/>
      <c r="Q11" s="188"/>
      <c r="R11" s="188"/>
      <c r="S11" s="188"/>
      <c r="U11" s="115"/>
    </row>
    <row r="12" spans="1:21">
      <c r="A12" s="188" t="s">
        <v>845</v>
      </c>
      <c r="B12" s="188">
        <f>B48</f>
        <v>3.15</v>
      </c>
      <c r="C12" s="188"/>
      <c r="D12" s="188" t="s">
        <v>37</v>
      </c>
      <c r="E12" s="408" t="s">
        <v>2</v>
      </c>
      <c r="F12" s="188" t="s">
        <v>29</v>
      </c>
      <c r="G12" s="188" t="s">
        <v>14</v>
      </c>
      <c r="H12" s="188" t="s">
        <v>30</v>
      </c>
      <c r="I12" s="188">
        <v>1</v>
      </c>
      <c r="J12" s="188">
        <f>B12</f>
        <v>3.15</v>
      </c>
      <c r="K12" s="188" t="s">
        <v>31</v>
      </c>
      <c r="L12" s="188" t="s">
        <v>31</v>
      </c>
      <c r="M12" s="188" t="s">
        <v>31</v>
      </c>
      <c r="N12" s="188" t="s">
        <v>31</v>
      </c>
      <c r="O12" s="188"/>
      <c r="P12" s="192"/>
      <c r="Q12" s="421"/>
      <c r="R12" s="188"/>
      <c r="S12" s="188"/>
    </row>
    <row r="13" spans="1:21">
      <c r="A13" s="188" t="s">
        <v>900</v>
      </c>
      <c r="B13" s="188">
        <v>1</v>
      </c>
      <c r="C13" s="188"/>
      <c r="D13" s="188" t="s">
        <v>18</v>
      </c>
      <c r="E13" s="408" t="s">
        <v>2</v>
      </c>
      <c r="F13" s="188" t="s">
        <v>29</v>
      </c>
      <c r="G13" s="188" t="s">
        <v>14</v>
      </c>
      <c r="H13" s="188" t="s">
        <v>33</v>
      </c>
      <c r="I13" s="188">
        <v>1</v>
      </c>
      <c r="J13" s="188">
        <v>1</v>
      </c>
      <c r="K13" s="188" t="s">
        <v>31</v>
      </c>
      <c r="L13" s="188" t="s">
        <v>31</v>
      </c>
      <c r="M13" s="188" t="s">
        <v>31</v>
      </c>
      <c r="N13" s="188" t="s">
        <v>31</v>
      </c>
      <c r="O13" s="188"/>
      <c r="P13" s="188"/>
      <c r="Q13" s="188"/>
      <c r="R13" s="188"/>
      <c r="S13" s="188"/>
    </row>
    <row r="14" spans="1:21">
      <c r="A14" s="346" t="s">
        <v>269</v>
      </c>
      <c r="B14" s="350">
        <f>Q14</f>
        <v>0.25</v>
      </c>
      <c r="C14" s="350"/>
      <c r="D14" s="188" t="s">
        <v>39</v>
      </c>
      <c r="E14" s="188" t="s">
        <v>40</v>
      </c>
      <c r="F14" s="188" t="s">
        <v>29</v>
      </c>
      <c r="G14" s="37" t="s">
        <v>35</v>
      </c>
      <c r="H14" s="188" t="s">
        <v>33</v>
      </c>
      <c r="I14" s="188">
        <v>2</v>
      </c>
      <c r="J14" s="188">
        <f t="shared" ref="J14:J18" si="0">LN(B14)</f>
        <v>-1.3862943611198906</v>
      </c>
      <c r="K14" s="413">
        <v>9.6046863561492793E-2</v>
      </c>
      <c r="L14" s="188" t="s">
        <v>31</v>
      </c>
      <c r="M14" s="188" t="s">
        <v>31</v>
      </c>
      <c r="N14" s="188" t="s">
        <v>31</v>
      </c>
      <c r="O14" s="188"/>
      <c r="P14" s="401" t="s">
        <v>248</v>
      </c>
      <c r="Q14" s="414">
        <v>0.25</v>
      </c>
      <c r="R14" s="188"/>
      <c r="S14" s="188"/>
    </row>
    <row r="15" spans="1:21">
      <c r="A15" s="346" t="s">
        <v>269</v>
      </c>
      <c r="B15" s="350">
        <f>Q15</f>
        <v>0.5</v>
      </c>
      <c r="C15" s="350"/>
      <c r="D15" s="188" t="s">
        <v>39</v>
      </c>
      <c r="E15" s="188" t="s">
        <v>40</v>
      </c>
      <c r="F15" s="188" t="s">
        <v>29</v>
      </c>
      <c r="G15" s="37" t="s">
        <v>35</v>
      </c>
      <c r="H15" s="188" t="s">
        <v>33</v>
      </c>
      <c r="I15" s="188">
        <v>2</v>
      </c>
      <c r="J15" s="188">
        <f t="shared" si="0"/>
        <v>-0.69314718055994529</v>
      </c>
      <c r="K15" s="413">
        <v>9.6046863561492793E-2</v>
      </c>
      <c r="L15" s="188" t="s">
        <v>31</v>
      </c>
      <c r="M15" s="188" t="s">
        <v>31</v>
      </c>
      <c r="N15" s="188" t="s">
        <v>31</v>
      </c>
      <c r="O15" s="188"/>
      <c r="P15" s="401" t="s">
        <v>248</v>
      </c>
      <c r="Q15" s="414">
        <v>0.5</v>
      </c>
      <c r="R15" s="188"/>
      <c r="S15" s="188"/>
    </row>
    <row r="16" spans="1:21">
      <c r="A16" s="37" t="s">
        <v>901</v>
      </c>
      <c r="B16" s="188">
        <f>S16</f>
        <v>6.5000000000000002E-2</v>
      </c>
      <c r="C16" s="188"/>
      <c r="D16" s="188" t="s">
        <v>37</v>
      </c>
      <c r="E16" s="188" t="s">
        <v>40</v>
      </c>
      <c r="F16" s="188" t="s">
        <v>29</v>
      </c>
      <c r="G16" s="188" t="s">
        <v>35</v>
      </c>
      <c r="H16" s="188" t="s">
        <v>33</v>
      </c>
      <c r="I16" s="188">
        <v>2</v>
      </c>
      <c r="J16" s="188">
        <f t="shared" si="0"/>
        <v>-2.7333680090865</v>
      </c>
      <c r="K16" s="413">
        <v>9.6046863561492793E-2</v>
      </c>
      <c r="L16" s="188"/>
      <c r="M16" s="188"/>
      <c r="N16" s="188"/>
      <c r="O16" s="188"/>
      <c r="P16" s="401" t="s">
        <v>580</v>
      </c>
      <c r="Q16" s="414">
        <v>65</v>
      </c>
      <c r="R16" s="401" t="s">
        <v>241</v>
      </c>
      <c r="S16" s="414">
        <f>0.001*Q16</f>
        <v>6.5000000000000002E-2</v>
      </c>
    </row>
    <row r="17" spans="1:21">
      <c r="A17" s="37" t="s">
        <v>902</v>
      </c>
      <c r="B17" s="188">
        <f>Q17</f>
        <v>1.2</v>
      </c>
      <c r="C17" s="188"/>
      <c r="D17" s="188" t="s">
        <v>37</v>
      </c>
      <c r="E17" s="188" t="s">
        <v>40</v>
      </c>
      <c r="F17" s="188" t="s">
        <v>29</v>
      </c>
      <c r="G17" s="37" t="s">
        <v>74</v>
      </c>
      <c r="H17" s="188" t="s">
        <v>33</v>
      </c>
      <c r="I17" s="188">
        <v>2</v>
      </c>
      <c r="J17" s="188">
        <f t="shared" si="0"/>
        <v>0.18232155679395459</v>
      </c>
      <c r="K17" s="413">
        <v>9.6046863561492793E-2</v>
      </c>
      <c r="L17" s="188"/>
      <c r="M17" s="188"/>
      <c r="N17" s="188"/>
      <c r="O17" s="188"/>
      <c r="P17" s="401" t="s">
        <v>241</v>
      </c>
      <c r="Q17" s="414">
        <v>1.2</v>
      </c>
      <c r="R17" s="188"/>
      <c r="S17" s="188"/>
    </row>
    <row r="18" spans="1:21">
      <c r="A18" s="37" t="s">
        <v>738</v>
      </c>
      <c r="B18" s="188">
        <f>S18</f>
        <v>6.5000000000000002E-2</v>
      </c>
      <c r="C18" s="188"/>
      <c r="D18" s="188" t="s">
        <v>37</v>
      </c>
      <c r="E18" s="188" t="s">
        <v>40</v>
      </c>
      <c r="F18" s="188" t="s">
        <v>29</v>
      </c>
      <c r="G18" s="37" t="s">
        <v>74</v>
      </c>
      <c r="H18" s="188" t="s">
        <v>33</v>
      </c>
      <c r="I18" s="188">
        <v>2</v>
      </c>
      <c r="J18" s="188">
        <f t="shared" si="0"/>
        <v>-2.7333680090865</v>
      </c>
      <c r="K18" s="413">
        <v>9.6046863561492793E-2</v>
      </c>
      <c r="L18" s="188"/>
      <c r="M18" s="188"/>
      <c r="N18" s="188"/>
      <c r="O18" s="188"/>
      <c r="P18" s="401" t="s">
        <v>580</v>
      </c>
      <c r="Q18" s="414">
        <v>65</v>
      </c>
      <c r="R18" s="401" t="s">
        <v>241</v>
      </c>
      <c r="S18" s="414">
        <f>0.001*Q18</f>
        <v>6.5000000000000002E-2</v>
      </c>
    </row>
    <row r="19" spans="1:21" s="70" customFormat="1">
      <c r="A19" s="370" t="s">
        <v>5</v>
      </c>
      <c r="B19" s="371" t="str">
        <f>A29</f>
        <v>production of machined casing, mass scaled activities, DCAC grid inverter, PEMFC-bat, Long-Term</v>
      </c>
      <c r="C19" s="371"/>
      <c r="D19" s="353"/>
      <c r="E19" s="353"/>
      <c r="F19" s="353"/>
      <c r="G19" s="353"/>
      <c r="H19" s="353"/>
      <c r="I19" s="353"/>
      <c r="J19" s="353"/>
      <c r="K19" s="353"/>
      <c r="L19" s="353"/>
      <c r="M19" s="353"/>
      <c r="N19" s="353"/>
      <c r="O19" s="353"/>
      <c r="P19" s="353"/>
      <c r="Q19" s="353"/>
      <c r="R19" s="353"/>
      <c r="S19" s="353"/>
    </row>
    <row r="20" spans="1:21">
      <c r="A20" s="346" t="s">
        <v>7</v>
      </c>
      <c r="B20" s="188" t="s">
        <v>786</v>
      </c>
      <c r="C20" s="188"/>
      <c r="D20" s="345"/>
      <c r="E20" s="188"/>
      <c r="F20" s="188"/>
      <c r="G20" s="188"/>
      <c r="H20" s="188"/>
      <c r="I20" s="188"/>
      <c r="J20" s="188"/>
      <c r="K20" s="188"/>
      <c r="L20" s="188"/>
      <c r="M20" s="188"/>
      <c r="N20" s="188"/>
      <c r="O20" s="188"/>
      <c r="P20" s="188"/>
      <c r="Q20" s="188"/>
      <c r="R20" s="188"/>
      <c r="S20" s="188"/>
    </row>
    <row r="21" spans="1:21">
      <c r="A21" s="424" t="s">
        <v>9</v>
      </c>
      <c r="B21" s="188" t="s">
        <v>903</v>
      </c>
      <c r="C21" s="188"/>
      <c r="D21" s="345"/>
      <c r="E21" s="188"/>
      <c r="F21" s="188"/>
      <c r="G21" s="188"/>
      <c r="H21" s="188"/>
      <c r="I21" s="188"/>
      <c r="J21" s="188"/>
      <c r="K21" s="188"/>
      <c r="L21" s="188"/>
      <c r="M21" s="188"/>
      <c r="N21" s="188"/>
      <c r="O21" s="188"/>
      <c r="P21" s="188"/>
      <c r="Q21" s="188"/>
      <c r="R21" s="188"/>
      <c r="S21" s="188"/>
    </row>
    <row r="22" spans="1:21" ht="15.75" customHeight="1">
      <c r="A22" s="346" t="s">
        <v>11</v>
      </c>
      <c r="B22" s="347" t="s">
        <v>796</v>
      </c>
      <c r="C22" s="347"/>
      <c r="D22" s="188"/>
      <c r="E22" s="188"/>
      <c r="F22" s="188"/>
      <c r="G22" s="188"/>
      <c r="H22" s="188"/>
      <c r="I22" s="188"/>
      <c r="J22" s="188"/>
      <c r="K22" s="188"/>
      <c r="L22" s="188"/>
      <c r="M22" s="188"/>
      <c r="N22" s="188"/>
      <c r="O22" s="188"/>
      <c r="P22" s="188"/>
      <c r="Q22" s="188"/>
      <c r="R22" s="188"/>
      <c r="S22" s="188"/>
    </row>
    <row r="23" spans="1:21">
      <c r="A23" s="346" t="s">
        <v>13</v>
      </c>
      <c r="B23" s="188" t="s">
        <v>14</v>
      </c>
      <c r="C23" s="188"/>
      <c r="D23" s="188"/>
      <c r="E23" s="188"/>
      <c r="F23" s="188"/>
      <c r="G23" s="188"/>
      <c r="H23" s="188"/>
      <c r="I23" s="188"/>
      <c r="J23" s="188"/>
      <c r="K23" s="188"/>
      <c r="L23" s="188"/>
      <c r="M23" s="188"/>
      <c r="N23" s="188"/>
      <c r="O23" s="188"/>
      <c r="P23" s="188"/>
      <c r="Q23" s="188"/>
      <c r="R23" s="188"/>
      <c r="S23" s="188"/>
    </row>
    <row r="24" spans="1:21">
      <c r="A24" s="346" t="s">
        <v>15</v>
      </c>
      <c r="B24" s="358">
        <v>1</v>
      </c>
      <c r="C24" s="358"/>
      <c r="D24" s="188"/>
      <c r="E24" s="188"/>
      <c r="F24" s="188"/>
      <c r="G24" s="188"/>
      <c r="H24" s="188"/>
      <c r="I24" s="188"/>
      <c r="J24" s="188"/>
      <c r="K24" s="188"/>
      <c r="L24" s="188"/>
      <c r="M24" s="188"/>
      <c r="N24" s="188"/>
      <c r="O24" s="188"/>
      <c r="P24" s="188"/>
      <c r="Q24" s="188"/>
      <c r="R24" s="188"/>
      <c r="S24" s="188"/>
    </row>
    <row r="25" spans="1:21">
      <c r="A25" s="346" t="s">
        <v>16</v>
      </c>
      <c r="B25" s="188" t="s">
        <v>17</v>
      </c>
      <c r="C25" s="188"/>
      <c r="D25" s="188"/>
      <c r="E25" s="188"/>
      <c r="F25" s="188"/>
      <c r="G25" s="188"/>
      <c r="H25" s="188"/>
      <c r="I25" s="188"/>
      <c r="J25" s="188"/>
      <c r="K25" s="188"/>
      <c r="L25" s="188"/>
      <c r="M25" s="188"/>
      <c r="N25" s="188"/>
      <c r="O25" s="188"/>
      <c r="P25" s="188"/>
      <c r="Q25" s="188"/>
      <c r="R25" s="188"/>
      <c r="S25" s="188"/>
    </row>
    <row r="26" spans="1:21">
      <c r="A26" s="346" t="s">
        <v>18</v>
      </c>
      <c r="B26" s="188" t="s">
        <v>18</v>
      </c>
      <c r="C26" s="188"/>
      <c r="D26" s="188"/>
      <c r="E26" s="188"/>
      <c r="F26" s="188"/>
      <c r="G26" s="188"/>
      <c r="H26" s="188"/>
      <c r="I26" s="188"/>
      <c r="J26" s="188"/>
      <c r="K26" s="188"/>
      <c r="L26" s="188"/>
      <c r="M26" s="188"/>
      <c r="N26" s="188"/>
      <c r="O26" s="188"/>
      <c r="P26" s="188"/>
      <c r="Q26" s="188"/>
      <c r="R26" s="188"/>
      <c r="S26" s="188"/>
    </row>
    <row r="27" spans="1:21">
      <c r="A27" s="343" t="s">
        <v>19</v>
      </c>
      <c r="B27" s="188"/>
      <c r="C27" s="188"/>
      <c r="D27" s="188"/>
      <c r="E27" s="188"/>
      <c r="F27" s="188"/>
      <c r="G27" s="188"/>
      <c r="H27" s="188"/>
      <c r="I27" s="188"/>
      <c r="J27" s="188"/>
      <c r="K27" s="188"/>
      <c r="L27" s="188"/>
      <c r="M27" s="188"/>
      <c r="N27" s="188"/>
      <c r="O27" s="188"/>
      <c r="P27" s="188"/>
      <c r="Q27" s="188"/>
      <c r="R27" s="188"/>
      <c r="S27" s="188"/>
    </row>
    <row r="28" spans="1:21">
      <c r="A28" s="344" t="s">
        <v>20</v>
      </c>
      <c r="B28" s="344" t="s">
        <v>21</v>
      </c>
      <c r="C28" s="382" t="s">
        <v>217</v>
      </c>
      <c r="D28" s="344" t="s">
        <v>18</v>
      </c>
      <c r="E28" s="344" t="s">
        <v>22</v>
      </c>
      <c r="F28" s="344" t="s">
        <v>7</v>
      </c>
      <c r="G28" s="344" t="s">
        <v>13</v>
      </c>
      <c r="H28" s="344" t="s">
        <v>16</v>
      </c>
      <c r="I28" s="344" t="s">
        <v>23</v>
      </c>
      <c r="J28" s="344" t="s">
        <v>24</v>
      </c>
      <c r="K28" s="344" t="s">
        <v>25</v>
      </c>
      <c r="L28" s="344" t="s">
        <v>26</v>
      </c>
      <c r="M28" s="344" t="s">
        <v>27</v>
      </c>
      <c r="N28" s="344" t="s">
        <v>28</v>
      </c>
      <c r="O28" s="344" t="s">
        <v>11</v>
      </c>
      <c r="P28" s="188"/>
      <c r="Q28" s="188"/>
      <c r="R28" s="188"/>
      <c r="S28" s="188"/>
      <c r="U28" s="115"/>
    </row>
    <row r="29" spans="1:21">
      <c r="A29" s="188" t="s">
        <v>900</v>
      </c>
      <c r="B29" s="188">
        <v>1</v>
      </c>
      <c r="C29" s="188"/>
      <c r="D29" s="188" t="s">
        <v>18</v>
      </c>
      <c r="E29" s="408" t="s">
        <v>2</v>
      </c>
      <c r="F29" s="188" t="s">
        <v>29</v>
      </c>
      <c r="G29" s="188" t="s">
        <v>14</v>
      </c>
      <c r="H29" s="188" t="s">
        <v>30</v>
      </c>
      <c r="I29" s="188">
        <v>1</v>
      </c>
      <c r="J29" s="188">
        <f>B29</f>
        <v>1</v>
      </c>
      <c r="K29" s="188" t="s">
        <v>31</v>
      </c>
      <c r="L29" s="188" t="s">
        <v>31</v>
      </c>
      <c r="M29" s="188" t="s">
        <v>31</v>
      </c>
      <c r="N29" s="188" t="s">
        <v>31</v>
      </c>
      <c r="O29" s="188"/>
      <c r="P29" s="188"/>
      <c r="Q29" s="188"/>
      <c r="R29" s="188"/>
      <c r="S29" s="188"/>
    </row>
    <row r="30" spans="1:21">
      <c r="A30" s="188" t="s">
        <v>904</v>
      </c>
      <c r="B30" s="188">
        <v>1</v>
      </c>
      <c r="C30" s="188"/>
      <c r="D30" s="188" t="s">
        <v>37</v>
      </c>
      <c r="E30" s="408" t="s">
        <v>2</v>
      </c>
      <c r="F30" s="188" t="s">
        <v>29</v>
      </c>
      <c r="G30" s="188" t="s">
        <v>14</v>
      </c>
      <c r="H30" s="188" t="s">
        <v>33</v>
      </c>
      <c r="I30" s="188">
        <v>2</v>
      </c>
      <c r="J30" s="188">
        <f>LN(B30)</f>
        <v>0</v>
      </c>
      <c r="K30" s="188">
        <v>0.10307764064044142</v>
      </c>
      <c r="L30" s="188" t="s">
        <v>31</v>
      </c>
      <c r="M30" s="188" t="s">
        <v>31</v>
      </c>
      <c r="N30" s="188" t="s">
        <v>31</v>
      </c>
      <c r="O30" s="188"/>
      <c r="P30" s="188"/>
      <c r="Q30" s="188"/>
      <c r="R30" s="188"/>
      <c r="S30" s="188"/>
    </row>
    <row r="31" spans="1:21">
      <c r="A31" s="346" t="s">
        <v>269</v>
      </c>
      <c r="B31" s="350">
        <f>Q31</f>
        <v>0.18</v>
      </c>
      <c r="C31" s="350"/>
      <c r="D31" s="188" t="s">
        <v>39</v>
      </c>
      <c r="E31" s="188" t="s">
        <v>40</v>
      </c>
      <c r="F31" s="188" t="s">
        <v>29</v>
      </c>
      <c r="G31" s="37" t="s">
        <v>35</v>
      </c>
      <c r="H31" s="188" t="s">
        <v>33</v>
      </c>
      <c r="I31" s="188">
        <v>2</v>
      </c>
      <c r="J31" s="188">
        <f t="shared" ref="J31:J37" si="1">LN(B31)</f>
        <v>-1.7147984280919266</v>
      </c>
      <c r="K31" s="188">
        <v>9.6046863561492793E-2</v>
      </c>
      <c r="L31" s="188" t="s">
        <v>31</v>
      </c>
      <c r="M31" s="188" t="s">
        <v>31</v>
      </c>
      <c r="N31" s="188" t="s">
        <v>31</v>
      </c>
      <c r="O31" s="188"/>
      <c r="P31" s="401" t="s">
        <v>248</v>
      </c>
      <c r="Q31" s="414">
        <v>0.18</v>
      </c>
      <c r="R31" s="188"/>
      <c r="S31" s="188"/>
    </row>
    <row r="32" spans="1:21">
      <c r="A32" s="37" t="s">
        <v>901</v>
      </c>
      <c r="B32" s="188">
        <f>S32</f>
        <v>4.2000000000000003E-2</v>
      </c>
      <c r="C32" s="188"/>
      <c r="D32" s="188" t="s">
        <v>37</v>
      </c>
      <c r="E32" s="188" t="s">
        <v>40</v>
      </c>
      <c r="F32" s="188" t="s">
        <v>29</v>
      </c>
      <c r="G32" s="188" t="s">
        <v>35</v>
      </c>
      <c r="H32" s="188" t="s">
        <v>33</v>
      </c>
      <c r="I32" s="188">
        <v>2</v>
      </c>
      <c r="J32" s="188">
        <f t="shared" si="1"/>
        <v>-3.1700856606987688</v>
      </c>
      <c r="K32" s="188">
        <v>9.6046863561492793E-2</v>
      </c>
      <c r="L32" s="188" t="s">
        <v>31</v>
      </c>
      <c r="M32" s="188" t="s">
        <v>31</v>
      </c>
      <c r="N32" s="188" t="s">
        <v>31</v>
      </c>
      <c r="O32" s="188"/>
      <c r="P32" s="401" t="s">
        <v>580</v>
      </c>
      <c r="Q32" s="414">
        <v>42</v>
      </c>
      <c r="R32" s="401" t="s">
        <v>241</v>
      </c>
      <c r="S32" s="414">
        <f>0.001*Q32</f>
        <v>4.2000000000000003E-2</v>
      </c>
    </row>
    <row r="33" spans="1:21">
      <c r="A33" s="37" t="s">
        <v>902</v>
      </c>
      <c r="B33" s="188">
        <f>Q33</f>
        <v>0.78</v>
      </c>
      <c r="C33" s="188"/>
      <c r="D33" s="188" t="s">
        <v>37</v>
      </c>
      <c r="E33" s="188" t="s">
        <v>40</v>
      </c>
      <c r="F33" s="188" t="s">
        <v>29</v>
      </c>
      <c r="G33" s="37" t="s">
        <v>74</v>
      </c>
      <c r="H33" s="188" t="s">
        <v>33</v>
      </c>
      <c r="I33" s="188">
        <v>2</v>
      </c>
      <c r="J33" s="188">
        <f t="shared" si="1"/>
        <v>-0.24846135929849961</v>
      </c>
      <c r="K33" s="188">
        <v>9.6046863561492793E-2</v>
      </c>
      <c r="L33" s="188" t="s">
        <v>31</v>
      </c>
      <c r="M33" s="188" t="s">
        <v>31</v>
      </c>
      <c r="N33" s="188" t="s">
        <v>31</v>
      </c>
      <c r="O33" s="188"/>
      <c r="P33" s="401" t="s">
        <v>241</v>
      </c>
      <c r="Q33" s="414">
        <v>0.78</v>
      </c>
      <c r="R33" s="188"/>
      <c r="S33" s="188"/>
    </row>
    <row r="34" spans="1:21">
      <c r="A34" s="438" t="s">
        <v>265</v>
      </c>
      <c r="B34" s="188">
        <f>S35</f>
        <v>0.159</v>
      </c>
      <c r="C34" s="192" t="s">
        <v>266</v>
      </c>
      <c r="D34" s="188" t="s">
        <v>37</v>
      </c>
      <c r="E34" s="188" t="s">
        <v>40</v>
      </c>
      <c r="F34" s="188" t="s">
        <v>29</v>
      </c>
      <c r="G34" s="37" t="s">
        <v>35</v>
      </c>
      <c r="H34" s="188" t="s">
        <v>33</v>
      </c>
      <c r="I34" s="188">
        <v>2</v>
      </c>
      <c r="J34" s="188">
        <f t="shared" si="1"/>
        <v>-1.8388510767619055</v>
      </c>
      <c r="K34" s="188">
        <v>9.6046863561492793E-2</v>
      </c>
      <c r="L34" s="188" t="s">
        <v>31</v>
      </c>
      <c r="M34" s="188" t="s">
        <v>31</v>
      </c>
      <c r="N34" s="188" t="s">
        <v>31</v>
      </c>
      <c r="O34" s="188"/>
      <c r="P34" s="401"/>
      <c r="Q34" s="414"/>
      <c r="R34" s="188"/>
      <c r="S34" s="188"/>
    </row>
    <row r="35" spans="1:21">
      <c r="A35" s="192" t="s">
        <v>263</v>
      </c>
      <c r="B35" s="188">
        <f>S35</f>
        <v>0.159</v>
      </c>
      <c r="C35" s="188"/>
      <c r="D35" s="188" t="s">
        <v>37</v>
      </c>
      <c r="E35" s="188" t="s">
        <v>40</v>
      </c>
      <c r="F35" s="188" t="s">
        <v>29</v>
      </c>
      <c r="G35" s="188" t="s">
        <v>35</v>
      </c>
      <c r="H35" s="188" t="s">
        <v>33</v>
      </c>
      <c r="I35" s="188">
        <v>2</v>
      </c>
      <c r="J35" s="188">
        <f t="shared" si="1"/>
        <v>-1.8388510767619055</v>
      </c>
      <c r="K35" s="188">
        <v>9.6046863561492793E-2</v>
      </c>
      <c r="L35" s="188" t="s">
        <v>31</v>
      </c>
      <c r="M35" s="188" t="s">
        <v>31</v>
      </c>
      <c r="N35" s="188" t="s">
        <v>31</v>
      </c>
      <c r="O35" s="188"/>
      <c r="P35" s="418" t="s">
        <v>580</v>
      </c>
      <c r="Q35" s="419">
        <v>159</v>
      </c>
      <c r="R35" s="401" t="s">
        <v>241</v>
      </c>
      <c r="S35" s="414">
        <f>0.001*Q35</f>
        <v>0.159</v>
      </c>
    </row>
    <row r="36" spans="1:21">
      <c r="A36" s="37" t="s">
        <v>905</v>
      </c>
      <c r="B36" s="188">
        <f t="shared" ref="B36" si="2">S36</f>
        <v>0.159</v>
      </c>
      <c r="C36" s="188"/>
      <c r="D36" s="188" t="s">
        <v>37</v>
      </c>
      <c r="E36" s="188" t="s">
        <v>40</v>
      </c>
      <c r="F36" s="188" t="s">
        <v>29</v>
      </c>
      <c r="G36" s="188" t="s">
        <v>59</v>
      </c>
      <c r="H36" s="188" t="s">
        <v>136</v>
      </c>
      <c r="I36" s="188">
        <v>2</v>
      </c>
      <c r="J36" s="188">
        <f t="shared" si="1"/>
        <v>-1.8388510767619055</v>
      </c>
      <c r="K36" s="188">
        <v>9.6046863561492793E-2</v>
      </c>
      <c r="L36" s="188" t="s">
        <v>31</v>
      </c>
      <c r="M36" s="188" t="s">
        <v>31</v>
      </c>
      <c r="N36" s="188" t="s">
        <v>31</v>
      </c>
      <c r="O36" s="188"/>
      <c r="P36" s="418" t="s">
        <v>580</v>
      </c>
      <c r="Q36" s="419">
        <v>159</v>
      </c>
      <c r="R36" s="401" t="s">
        <v>241</v>
      </c>
      <c r="S36" s="414">
        <f t="shared" ref="S36:S37" si="3">0.001*Q36</f>
        <v>0.159</v>
      </c>
    </row>
    <row r="37" spans="1:21">
      <c r="A37" s="37" t="s">
        <v>738</v>
      </c>
      <c r="B37" s="188">
        <f>S37</f>
        <v>4.2000000000000003E-2</v>
      </c>
      <c r="C37" s="188"/>
      <c r="D37" s="188" t="s">
        <v>37</v>
      </c>
      <c r="E37" s="188" t="s">
        <v>40</v>
      </c>
      <c r="F37" s="188" t="s">
        <v>29</v>
      </c>
      <c r="G37" s="37" t="s">
        <v>74</v>
      </c>
      <c r="H37" s="188" t="s">
        <v>33</v>
      </c>
      <c r="I37" s="188">
        <v>2</v>
      </c>
      <c r="J37" s="188">
        <f t="shared" si="1"/>
        <v>-3.1700856606987688</v>
      </c>
      <c r="K37" s="188">
        <v>9.6046863561492793E-2</v>
      </c>
      <c r="L37" s="188" t="s">
        <v>31</v>
      </c>
      <c r="M37" s="188" t="s">
        <v>31</v>
      </c>
      <c r="N37" s="188" t="s">
        <v>31</v>
      </c>
      <c r="O37" s="188"/>
      <c r="P37" s="418" t="s">
        <v>580</v>
      </c>
      <c r="Q37" s="419">
        <v>42</v>
      </c>
      <c r="R37" s="401" t="s">
        <v>241</v>
      </c>
      <c r="S37" s="414">
        <f t="shared" si="3"/>
        <v>4.2000000000000003E-2</v>
      </c>
    </row>
    <row r="38" spans="1:21" s="70" customFormat="1">
      <c r="A38" s="370" t="s">
        <v>5</v>
      </c>
      <c r="B38" s="371" t="s">
        <v>904</v>
      </c>
      <c r="C38" s="371"/>
      <c r="D38" s="353"/>
      <c r="E38" s="353"/>
      <c r="F38" s="353"/>
      <c r="G38" s="353"/>
      <c r="H38" s="353"/>
      <c r="I38" s="353"/>
      <c r="J38" s="353"/>
      <c r="K38" s="353"/>
      <c r="L38" s="353"/>
      <c r="M38" s="353"/>
      <c r="N38" s="353"/>
      <c r="O38" s="353"/>
      <c r="P38" s="353"/>
      <c r="Q38" s="353"/>
      <c r="R38" s="353"/>
      <c r="S38" s="353"/>
    </row>
    <row r="39" spans="1:21">
      <c r="A39" s="346" t="s">
        <v>7</v>
      </c>
      <c r="B39" s="188" t="s">
        <v>786</v>
      </c>
      <c r="C39" s="188"/>
      <c r="D39" s="345"/>
      <c r="E39" s="188"/>
      <c r="F39" s="188"/>
      <c r="G39" s="188"/>
      <c r="H39" s="188"/>
      <c r="I39" s="188"/>
      <c r="J39" s="188"/>
      <c r="K39" s="188"/>
      <c r="L39" s="188"/>
      <c r="M39" s="188"/>
      <c r="N39" s="188"/>
      <c r="O39" s="188"/>
      <c r="P39" s="188"/>
      <c r="Q39" s="188"/>
      <c r="R39" s="188"/>
      <c r="S39" s="188"/>
    </row>
    <row r="40" spans="1:21">
      <c r="A40" s="424" t="s">
        <v>9</v>
      </c>
      <c r="B40" s="188" t="s">
        <v>906</v>
      </c>
      <c r="C40" s="188"/>
      <c r="D40" s="345"/>
      <c r="E40" s="188"/>
      <c r="F40" s="188"/>
      <c r="G40" s="188"/>
      <c r="H40" s="188"/>
      <c r="I40" s="188"/>
      <c r="J40" s="188"/>
      <c r="K40" s="188"/>
      <c r="L40" s="188"/>
      <c r="M40" s="188"/>
      <c r="N40" s="188"/>
      <c r="O40" s="188"/>
      <c r="P40" s="188"/>
      <c r="Q40" s="188"/>
      <c r="R40" s="188"/>
      <c r="S40" s="188"/>
    </row>
    <row r="41" spans="1:21" ht="15.75" customHeight="1">
      <c r="A41" s="346" t="s">
        <v>11</v>
      </c>
      <c r="B41" s="347" t="s">
        <v>796</v>
      </c>
      <c r="C41" s="347"/>
      <c r="D41" s="188"/>
      <c r="E41" s="188"/>
      <c r="F41" s="188"/>
      <c r="G41" s="188"/>
      <c r="H41" s="188"/>
      <c r="I41" s="188"/>
      <c r="J41" s="188"/>
      <c r="K41" s="188"/>
      <c r="L41" s="188"/>
      <c r="M41" s="188"/>
      <c r="N41" s="188"/>
      <c r="O41" s="188"/>
      <c r="P41" s="188"/>
      <c r="Q41" s="188"/>
      <c r="R41" s="188"/>
      <c r="S41" s="188"/>
    </row>
    <row r="42" spans="1:21">
      <c r="A42" s="346" t="s">
        <v>13</v>
      </c>
      <c r="B42" s="188" t="s">
        <v>14</v>
      </c>
      <c r="C42" s="188"/>
      <c r="D42" s="188"/>
      <c r="E42" s="188"/>
      <c r="F42" s="188"/>
      <c r="G42" s="188"/>
      <c r="H42" s="188"/>
      <c r="I42" s="188"/>
      <c r="J42" s="188"/>
      <c r="K42" s="188"/>
      <c r="L42" s="188"/>
      <c r="M42" s="188"/>
      <c r="N42" s="188"/>
      <c r="O42" s="188"/>
      <c r="P42" s="188"/>
      <c r="Q42" s="188"/>
      <c r="R42" s="188"/>
      <c r="S42" s="188"/>
    </row>
    <row r="43" spans="1:21">
      <c r="A43" s="346" t="s">
        <v>15</v>
      </c>
      <c r="B43" s="358">
        <v>3.15</v>
      </c>
      <c r="C43" s="358"/>
      <c r="D43" s="188"/>
      <c r="E43" s="188"/>
      <c r="F43" s="188"/>
      <c r="G43" s="188"/>
      <c r="H43" s="188"/>
      <c r="I43" s="188"/>
      <c r="J43" s="188"/>
      <c r="K43" s="188"/>
      <c r="L43" s="188"/>
      <c r="M43" s="188"/>
      <c r="N43" s="188"/>
      <c r="O43" s="188"/>
      <c r="P43" s="188"/>
      <c r="Q43" s="188"/>
      <c r="R43" s="188"/>
      <c r="S43" s="188"/>
    </row>
    <row r="44" spans="1:21">
      <c r="A44" s="346" t="s">
        <v>16</v>
      </c>
      <c r="B44" s="188" t="s">
        <v>17</v>
      </c>
      <c r="C44" s="188"/>
      <c r="D44" s="188"/>
      <c r="E44" s="188"/>
      <c r="F44" s="188"/>
      <c r="G44" s="188"/>
      <c r="H44" s="188"/>
      <c r="I44" s="188"/>
      <c r="J44" s="188"/>
      <c r="K44" s="188"/>
      <c r="L44" s="188"/>
      <c r="M44" s="188"/>
      <c r="N44" s="188"/>
      <c r="O44" s="188"/>
      <c r="P44" s="188"/>
      <c r="Q44" s="188"/>
      <c r="R44" s="188"/>
      <c r="S44" s="188"/>
    </row>
    <row r="45" spans="1:21">
      <c r="A45" s="346" t="s">
        <v>18</v>
      </c>
      <c r="B45" s="188" t="s">
        <v>37</v>
      </c>
      <c r="C45" s="188"/>
      <c r="D45" s="188"/>
      <c r="E45" s="188"/>
      <c r="F45" s="188"/>
      <c r="G45" s="188"/>
      <c r="H45" s="188"/>
      <c r="I45" s="188"/>
      <c r="J45" s="188"/>
      <c r="K45" s="188"/>
      <c r="L45" s="188"/>
      <c r="M45" s="188"/>
      <c r="N45" s="188"/>
      <c r="O45" s="188"/>
      <c r="P45" s="188"/>
      <c r="Q45" s="188"/>
      <c r="R45" s="188"/>
      <c r="S45" s="188"/>
    </row>
    <row r="46" spans="1:21">
      <c r="A46" s="343" t="s">
        <v>19</v>
      </c>
      <c r="B46" s="188"/>
      <c r="C46" s="188"/>
      <c r="D46" s="188"/>
      <c r="E46" s="188"/>
      <c r="F46" s="188"/>
      <c r="G46" s="188"/>
      <c r="H46" s="188"/>
      <c r="I46" s="188"/>
      <c r="J46" s="188"/>
      <c r="K46" s="188"/>
      <c r="L46" s="188"/>
      <c r="M46" s="188"/>
      <c r="N46" s="188"/>
      <c r="O46" s="188"/>
      <c r="P46" s="188"/>
      <c r="Q46" s="188"/>
      <c r="R46" s="188"/>
      <c r="S46" s="188"/>
    </row>
    <row r="47" spans="1:21">
      <c r="A47" s="344" t="s">
        <v>20</v>
      </c>
      <c r="B47" s="344" t="s">
        <v>21</v>
      </c>
      <c r="C47" s="382" t="s">
        <v>217</v>
      </c>
      <c r="D47" s="344" t="s">
        <v>18</v>
      </c>
      <c r="E47" s="344" t="s">
        <v>22</v>
      </c>
      <c r="F47" s="344" t="s">
        <v>7</v>
      </c>
      <c r="G47" s="344" t="s">
        <v>13</v>
      </c>
      <c r="H47" s="344" t="s">
        <v>16</v>
      </c>
      <c r="I47" s="344" t="s">
        <v>23</v>
      </c>
      <c r="J47" s="344" t="s">
        <v>24</v>
      </c>
      <c r="K47" s="344" t="s">
        <v>25</v>
      </c>
      <c r="L47" s="344" t="s">
        <v>26</v>
      </c>
      <c r="M47" s="344" t="s">
        <v>27</v>
      </c>
      <c r="N47" s="344" t="s">
        <v>28</v>
      </c>
      <c r="O47" s="344" t="s">
        <v>11</v>
      </c>
      <c r="P47" s="188"/>
      <c r="Q47" s="188"/>
      <c r="R47" s="188"/>
      <c r="S47" s="188"/>
      <c r="U47" s="115"/>
    </row>
    <row r="48" spans="1:21">
      <c r="A48" s="188" t="s">
        <v>904</v>
      </c>
      <c r="B48" s="188">
        <v>3.15</v>
      </c>
      <c r="C48" s="188"/>
      <c r="D48" s="188" t="s">
        <v>37</v>
      </c>
      <c r="E48" s="408" t="s">
        <v>2</v>
      </c>
      <c r="F48" s="188" t="s">
        <v>29</v>
      </c>
      <c r="G48" s="188" t="s">
        <v>14</v>
      </c>
      <c r="H48" s="188" t="s">
        <v>30</v>
      </c>
      <c r="I48" s="188">
        <v>2</v>
      </c>
      <c r="J48" s="188">
        <f>LN(B48)</f>
        <v>1.1474024528375417</v>
      </c>
      <c r="K48" s="188">
        <v>0.10307764064044142</v>
      </c>
      <c r="L48" s="188" t="s">
        <v>31</v>
      </c>
      <c r="M48" s="188" t="s">
        <v>31</v>
      </c>
      <c r="N48" s="188" t="s">
        <v>31</v>
      </c>
      <c r="O48" s="188"/>
      <c r="P48" s="188"/>
      <c r="Q48" s="188"/>
      <c r="R48" s="188"/>
      <c r="S48" s="188"/>
    </row>
    <row r="49" spans="1:25">
      <c r="A49" s="37" t="s">
        <v>905</v>
      </c>
      <c r="B49" s="188">
        <f>Q49</f>
        <v>3.34</v>
      </c>
      <c r="C49" s="188"/>
      <c r="D49" s="188" t="s">
        <v>37</v>
      </c>
      <c r="E49" s="188" t="s">
        <v>40</v>
      </c>
      <c r="F49" s="188" t="s">
        <v>29</v>
      </c>
      <c r="G49" s="188" t="s">
        <v>59</v>
      </c>
      <c r="H49" s="188" t="s">
        <v>33</v>
      </c>
      <c r="I49" s="188">
        <v>2</v>
      </c>
      <c r="J49" s="188">
        <f t="shared" ref="J49:J57" si="4">LN(B49)</f>
        <v>1.205970806988609</v>
      </c>
      <c r="K49" s="188">
        <v>4.9999999999998969E-3</v>
      </c>
      <c r="L49" s="188" t="s">
        <v>31</v>
      </c>
      <c r="M49" s="188" t="s">
        <v>31</v>
      </c>
      <c r="N49" s="188" t="s">
        <v>31</v>
      </c>
      <c r="O49" s="188"/>
      <c r="P49" s="401" t="s">
        <v>241</v>
      </c>
      <c r="Q49" s="414">
        <v>3.34</v>
      </c>
      <c r="R49" s="188"/>
      <c r="S49" s="188"/>
    </row>
    <row r="50" spans="1:25">
      <c r="A50" s="27" t="s">
        <v>69</v>
      </c>
      <c r="B50" s="188">
        <f>S50</f>
        <v>0.88772845953002621</v>
      </c>
      <c r="C50" s="188"/>
      <c r="D50" s="188" t="s">
        <v>42</v>
      </c>
      <c r="E50" s="188" t="s">
        <v>40</v>
      </c>
      <c r="F50" s="188" t="s">
        <v>29</v>
      </c>
      <c r="G50" s="188" t="s">
        <v>249</v>
      </c>
      <c r="H50" s="188" t="s">
        <v>33</v>
      </c>
      <c r="I50" s="188">
        <v>2</v>
      </c>
      <c r="J50" s="188">
        <f t="shared" si="4"/>
        <v>-0.11908937157043879</v>
      </c>
      <c r="K50" s="188">
        <v>4.9999999999998969E-3</v>
      </c>
      <c r="L50" s="188" t="s">
        <v>31</v>
      </c>
      <c r="M50" s="188" t="s">
        <v>31</v>
      </c>
      <c r="N50" s="188" t="s">
        <v>31</v>
      </c>
      <c r="O50" s="188"/>
      <c r="P50" s="401" t="s">
        <v>250</v>
      </c>
      <c r="Q50" s="414">
        <v>34</v>
      </c>
      <c r="R50" s="188" t="s">
        <v>251</v>
      </c>
      <c r="S50" s="188">
        <f>Q50/38.3</f>
        <v>0.88772845953002621</v>
      </c>
      <c r="T50" s="148"/>
      <c r="U50" s="149"/>
      <c r="V50" s="149"/>
      <c r="W50" s="149"/>
      <c r="X50" s="149"/>
      <c r="Y50" s="149"/>
    </row>
    <row r="51" spans="1:25">
      <c r="A51" s="346" t="s">
        <v>269</v>
      </c>
      <c r="B51" s="350">
        <f>Q51</f>
        <v>8.19</v>
      </c>
      <c r="C51" s="350"/>
      <c r="D51" s="188" t="s">
        <v>39</v>
      </c>
      <c r="E51" s="188" t="s">
        <v>40</v>
      </c>
      <c r="F51" s="188" t="s">
        <v>29</v>
      </c>
      <c r="G51" s="37" t="s">
        <v>59</v>
      </c>
      <c r="H51" s="188" t="s">
        <v>33</v>
      </c>
      <c r="I51" s="188">
        <v>2</v>
      </c>
      <c r="J51" s="188">
        <f t="shared" si="4"/>
        <v>2.102913897864978</v>
      </c>
      <c r="K51" s="188">
        <v>4.9999999999998969E-3</v>
      </c>
      <c r="L51" s="188" t="s">
        <v>31</v>
      </c>
      <c r="M51" s="188" t="s">
        <v>31</v>
      </c>
      <c r="N51" s="188" t="s">
        <v>31</v>
      </c>
      <c r="O51" s="188"/>
      <c r="P51" s="401" t="s">
        <v>248</v>
      </c>
      <c r="Q51" s="414">
        <v>8.19</v>
      </c>
      <c r="R51" s="188"/>
      <c r="S51" s="188"/>
    </row>
    <row r="52" spans="1:25">
      <c r="A52" s="37" t="s">
        <v>907</v>
      </c>
      <c r="B52" s="188">
        <f>S52</f>
        <v>6.3E-2</v>
      </c>
      <c r="C52" s="188"/>
      <c r="D52" s="188" t="s">
        <v>37</v>
      </c>
      <c r="E52" s="188" t="s">
        <v>40</v>
      </c>
      <c r="F52" s="188" t="s">
        <v>29</v>
      </c>
      <c r="G52" s="188" t="s">
        <v>35</v>
      </c>
      <c r="H52" s="188" t="s">
        <v>33</v>
      </c>
      <c r="I52" s="188">
        <v>2</v>
      </c>
      <c r="J52" s="188">
        <f t="shared" si="4"/>
        <v>-2.7646205525906042</v>
      </c>
      <c r="K52" s="188">
        <v>0.10049875621120885</v>
      </c>
      <c r="L52" s="188" t="s">
        <v>31</v>
      </c>
      <c r="M52" s="188" t="s">
        <v>31</v>
      </c>
      <c r="N52" s="188" t="s">
        <v>31</v>
      </c>
      <c r="O52" s="188"/>
      <c r="P52" s="401" t="s">
        <v>580</v>
      </c>
      <c r="Q52" s="414">
        <v>63</v>
      </c>
      <c r="R52" s="401" t="s">
        <v>241</v>
      </c>
      <c r="S52" s="414">
        <f t="shared" ref="S52:S55" si="5">0.001*Q52</f>
        <v>6.3E-2</v>
      </c>
    </row>
    <row r="53" spans="1:25">
      <c r="A53" s="37" t="s">
        <v>908</v>
      </c>
      <c r="B53" s="188">
        <f>S53</f>
        <v>1.3000000000000002E-3</v>
      </c>
      <c r="C53" s="188"/>
      <c r="D53" s="188" t="s">
        <v>37</v>
      </c>
      <c r="E53" s="188" t="s">
        <v>43</v>
      </c>
      <c r="F53" s="188" t="s">
        <v>44</v>
      </c>
      <c r="G53" s="188" t="s">
        <v>29</v>
      </c>
      <c r="H53" s="188" t="s">
        <v>45</v>
      </c>
      <c r="I53" s="188">
        <v>2</v>
      </c>
      <c r="J53" s="188">
        <f t="shared" si="4"/>
        <v>-6.6453910145146455</v>
      </c>
      <c r="K53" s="188">
        <v>4.9999999999998969E-3</v>
      </c>
      <c r="L53" s="188" t="s">
        <v>31</v>
      </c>
      <c r="M53" s="188" t="s">
        <v>31</v>
      </c>
      <c r="N53" s="188" t="s">
        <v>31</v>
      </c>
      <c r="O53" s="188"/>
      <c r="P53" s="416" t="s">
        <v>580</v>
      </c>
      <c r="Q53" s="439">
        <v>1.3</v>
      </c>
      <c r="R53" s="401" t="s">
        <v>241</v>
      </c>
      <c r="S53" s="414">
        <f t="shared" si="5"/>
        <v>1.3000000000000002E-3</v>
      </c>
    </row>
    <row r="54" spans="1:25">
      <c r="A54" s="346" t="s">
        <v>758</v>
      </c>
      <c r="B54" s="188">
        <f>S54</f>
        <v>1.3000000000000002E-3</v>
      </c>
      <c r="C54" s="188"/>
      <c r="D54" s="188" t="s">
        <v>37</v>
      </c>
      <c r="E54" s="188" t="s">
        <v>43</v>
      </c>
      <c r="F54" s="188" t="s">
        <v>44</v>
      </c>
      <c r="G54" s="37" t="s">
        <v>29</v>
      </c>
      <c r="H54" s="188" t="s">
        <v>45</v>
      </c>
      <c r="I54" s="188">
        <v>2</v>
      </c>
      <c r="J54" s="188">
        <f t="shared" si="4"/>
        <v>-6.6453910145146455</v>
      </c>
      <c r="K54" s="188">
        <v>8.9582364335844641E-2</v>
      </c>
      <c r="L54" s="188" t="s">
        <v>31</v>
      </c>
      <c r="M54" s="188" t="s">
        <v>31</v>
      </c>
      <c r="N54" s="188" t="s">
        <v>31</v>
      </c>
      <c r="O54" s="188"/>
      <c r="P54" s="416" t="s">
        <v>580</v>
      </c>
      <c r="Q54" s="439">
        <v>1.3</v>
      </c>
      <c r="R54" s="401" t="s">
        <v>241</v>
      </c>
      <c r="S54" s="414">
        <f t="shared" si="5"/>
        <v>1.3000000000000002E-3</v>
      </c>
    </row>
    <row r="55" spans="1:25">
      <c r="A55" s="438" t="s">
        <v>265</v>
      </c>
      <c r="B55" s="188">
        <f>S55</f>
        <v>3.2000000000000002E-3</v>
      </c>
      <c r="C55" s="192" t="s">
        <v>266</v>
      </c>
      <c r="D55" s="188" t="s">
        <v>37</v>
      </c>
      <c r="E55" s="188" t="s">
        <v>40</v>
      </c>
      <c r="F55" s="188" t="s">
        <v>29</v>
      </c>
      <c r="G55" s="37" t="s">
        <v>35</v>
      </c>
      <c r="H55" s="188" t="s">
        <v>33</v>
      </c>
      <c r="I55" s="188">
        <v>2</v>
      </c>
      <c r="J55" s="188">
        <f t="shared" si="4"/>
        <v>-5.7446044691764557</v>
      </c>
      <c r="K55" s="188">
        <v>9.6046863561492793E-2</v>
      </c>
      <c r="L55" s="188" t="s">
        <v>31</v>
      </c>
      <c r="M55" s="188" t="s">
        <v>31</v>
      </c>
      <c r="N55" s="188" t="s">
        <v>31</v>
      </c>
      <c r="O55" s="188"/>
      <c r="P55" s="416" t="s">
        <v>580</v>
      </c>
      <c r="Q55" s="439">
        <v>3.2</v>
      </c>
      <c r="R55" s="401" t="s">
        <v>241</v>
      </c>
      <c r="S55" s="414">
        <f t="shared" si="5"/>
        <v>3.2000000000000002E-3</v>
      </c>
    </row>
    <row r="56" spans="1:25">
      <c r="A56" s="192" t="s">
        <v>263</v>
      </c>
      <c r="B56" s="188">
        <f>S55</f>
        <v>3.2000000000000002E-3</v>
      </c>
      <c r="C56" s="188"/>
      <c r="D56" s="188" t="s">
        <v>37</v>
      </c>
      <c r="E56" s="188" t="s">
        <v>40</v>
      </c>
      <c r="F56" s="188" t="s">
        <v>29</v>
      </c>
      <c r="G56" s="188" t="s">
        <v>35</v>
      </c>
      <c r="H56" s="188" t="s">
        <v>33</v>
      </c>
      <c r="I56" s="188">
        <v>2</v>
      </c>
      <c r="J56" s="188">
        <f t="shared" si="4"/>
        <v>-5.7446044691764557</v>
      </c>
      <c r="K56" s="188">
        <v>4.9999999999998969E-3</v>
      </c>
      <c r="L56" s="188" t="s">
        <v>31</v>
      </c>
      <c r="M56" s="188" t="s">
        <v>31</v>
      </c>
      <c r="N56" s="188" t="s">
        <v>31</v>
      </c>
      <c r="O56" s="188"/>
      <c r="P56" s="418" t="s">
        <v>241</v>
      </c>
      <c r="Q56" s="439">
        <v>0.19</v>
      </c>
      <c r="R56" s="188"/>
      <c r="S56" s="188"/>
    </row>
    <row r="57" spans="1:25">
      <c r="A57" s="37" t="s">
        <v>905</v>
      </c>
      <c r="B57" s="188">
        <f>Q56</f>
        <v>0.19</v>
      </c>
      <c r="C57" s="188"/>
      <c r="D57" s="188" t="s">
        <v>37</v>
      </c>
      <c r="E57" s="188" t="s">
        <v>40</v>
      </c>
      <c r="F57" s="188" t="s">
        <v>29</v>
      </c>
      <c r="G57" s="188" t="s">
        <v>59</v>
      </c>
      <c r="H57" s="188" t="s">
        <v>136</v>
      </c>
      <c r="I57" s="188">
        <v>2</v>
      </c>
      <c r="J57" s="188">
        <f t="shared" si="4"/>
        <v>-1.6607312068216509</v>
      </c>
      <c r="K57" s="188">
        <v>4.9999999999998969E-3</v>
      </c>
      <c r="L57" s="188" t="s">
        <v>31</v>
      </c>
      <c r="M57" s="188" t="s">
        <v>31</v>
      </c>
      <c r="N57" s="188" t="s">
        <v>31</v>
      </c>
      <c r="O57" s="188"/>
      <c r="P57" s="188"/>
      <c r="Q57" s="188"/>
      <c r="R57" s="188"/>
      <c r="S57" s="188"/>
    </row>
  </sheetData>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301D4-336C-4F56-81BB-2A01C5B347EB}">
  <sheetPr>
    <tabColor theme="9"/>
  </sheetPr>
  <dimension ref="A1:U362"/>
  <sheetViews>
    <sheetView topLeftCell="A4" zoomScaleNormal="100" workbookViewId="0">
      <selection activeCell="H12" sqref="H12"/>
    </sheetView>
  </sheetViews>
  <sheetFormatPr defaultRowHeight="14.45"/>
  <cols>
    <col min="1" max="1" width="65.5703125" customWidth="1"/>
    <col min="2" max="2" width="15.28515625" customWidth="1"/>
    <col min="3" max="3" width="14.28515625" customWidth="1"/>
    <col min="4" max="4" width="35.7109375" customWidth="1"/>
    <col min="7" max="7" width="15.5703125"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70" t="s">
        <v>5</v>
      </c>
      <c r="B2" s="371" t="s">
        <v>836</v>
      </c>
      <c r="C2" s="372"/>
      <c r="D2" s="353"/>
      <c r="E2" s="353"/>
      <c r="F2" s="353"/>
      <c r="G2" s="353"/>
      <c r="H2" s="353"/>
      <c r="I2" s="353"/>
      <c r="J2" s="353"/>
      <c r="K2" s="353"/>
      <c r="L2" s="353"/>
      <c r="M2" s="353"/>
      <c r="N2" s="188"/>
      <c r="O2" s="188"/>
      <c r="P2" s="188"/>
      <c r="Q2" s="188"/>
      <c r="R2" s="188"/>
      <c r="S2" s="188"/>
      <c r="T2" s="188"/>
      <c r="U2" s="188"/>
    </row>
    <row r="3" spans="1:21">
      <c r="A3" s="346" t="s">
        <v>7</v>
      </c>
      <c r="B3" s="188" t="s">
        <v>786</v>
      </c>
      <c r="C3" s="345"/>
      <c r="D3" s="188"/>
      <c r="E3" s="188"/>
      <c r="F3" s="188"/>
      <c r="G3" s="188"/>
      <c r="H3" s="188"/>
      <c r="I3" s="188"/>
      <c r="J3" s="188"/>
      <c r="K3" s="188"/>
      <c r="L3" s="188"/>
      <c r="M3" s="188"/>
      <c r="N3" s="188"/>
      <c r="O3" s="188"/>
      <c r="P3" s="188"/>
      <c r="Q3" s="188"/>
      <c r="R3" s="188"/>
      <c r="S3" s="188"/>
      <c r="T3" s="188"/>
      <c r="U3" s="188"/>
    </row>
    <row r="4" spans="1:21">
      <c r="A4" s="346" t="s">
        <v>9</v>
      </c>
      <c r="B4" s="188" t="s">
        <v>909</v>
      </c>
      <c r="C4" s="345"/>
      <c r="D4" s="188"/>
      <c r="E4" s="188"/>
      <c r="F4" s="188"/>
      <c r="G4" s="188"/>
      <c r="H4" s="188"/>
      <c r="I4" s="188"/>
      <c r="J4" s="188"/>
      <c r="K4" s="188"/>
      <c r="L4" s="188"/>
      <c r="M4" s="188"/>
      <c r="N4" s="188"/>
      <c r="O4" s="188"/>
      <c r="P4" s="188"/>
      <c r="Q4" s="188"/>
      <c r="R4" s="188"/>
      <c r="S4" s="188"/>
      <c r="T4" s="188"/>
      <c r="U4" s="188"/>
    </row>
    <row r="5" spans="1:21" ht="16.5" customHeight="1">
      <c r="A5" s="346" t="s">
        <v>11</v>
      </c>
      <c r="B5" s="347" t="s">
        <v>796</v>
      </c>
      <c r="C5" s="188"/>
      <c r="D5" s="188"/>
      <c r="E5" s="188"/>
      <c r="F5" s="188"/>
      <c r="G5" s="188"/>
      <c r="H5" s="188"/>
      <c r="I5" s="188"/>
      <c r="J5" s="188"/>
      <c r="K5" s="188"/>
      <c r="L5" s="188"/>
      <c r="M5" s="188"/>
      <c r="N5" s="188"/>
      <c r="O5" s="188"/>
      <c r="P5" s="188"/>
      <c r="Q5" s="188"/>
      <c r="R5" s="188"/>
      <c r="S5" s="188"/>
      <c r="T5" s="188"/>
      <c r="U5" s="188"/>
    </row>
    <row r="6" spans="1:21">
      <c r="A6" s="346" t="s">
        <v>13</v>
      </c>
      <c r="B6" s="188" t="s">
        <v>14</v>
      </c>
      <c r="C6" s="188"/>
      <c r="D6" s="188"/>
      <c r="E6" s="188"/>
      <c r="F6" s="188"/>
      <c r="G6" s="188"/>
      <c r="H6" s="188"/>
      <c r="I6" s="188"/>
      <c r="J6" s="188"/>
      <c r="K6" s="188"/>
      <c r="L6" s="188"/>
      <c r="M6" s="188"/>
      <c r="N6" s="188"/>
      <c r="O6" s="188"/>
      <c r="P6" s="188"/>
      <c r="Q6" s="188"/>
      <c r="R6" s="188"/>
      <c r="S6" s="188"/>
      <c r="T6" s="188"/>
      <c r="U6" s="188"/>
    </row>
    <row r="7" spans="1:21">
      <c r="A7" s="346" t="s">
        <v>15</v>
      </c>
      <c r="B7" s="188">
        <v>0.31379100000000004</v>
      </c>
      <c r="C7" s="188"/>
      <c r="D7" s="188"/>
      <c r="E7" s="188"/>
      <c r="F7" s="188"/>
      <c r="G7" s="188"/>
      <c r="H7" s="188"/>
      <c r="I7" s="188"/>
      <c r="J7" s="188"/>
      <c r="K7" s="188"/>
      <c r="L7" s="188"/>
      <c r="M7" s="188"/>
      <c r="N7" s="188"/>
      <c r="O7" s="188"/>
      <c r="P7" s="188"/>
      <c r="Q7" s="188"/>
      <c r="R7" s="188"/>
      <c r="S7" s="188"/>
      <c r="T7" s="188"/>
      <c r="U7" s="188"/>
    </row>
    <row r="8" spans="1:21">
      <c r="A8" s="346" t="s">
        <v>16</v>
      </c>
      <c r="B8" s="188" t="s">
        <v>17</v>
      </c>
      <c r="C8" s="188"/>
      <c r="D8" s="188"/>
      <c r="E8" s="188"/>
      <c r="F8" s="188"/>
      <c r="G8" s="188"/>
      <c r="H8" s="188"/>
      <c r="I8" s="188"/>
      <c r="J8" s="188"/>
      <c r="K8" s="188"/>
      <c r="L8" s="188"/>
      <c r="M8" s="188"/>
      <c r="N8" s="188"/>
      <c r="O8" s="188"/>
      <c r="P8" s="188"/>
      <c r="Q8" s="188"/>
      <c r="R8" s="188"/>
      <c r="S8" s="188"/>
      <c r="T8" s="188"/>
      <c r="U8" s="188"/>
    </row>
    <row r="9" spans="1:21">
      <c r="A9" s="346" t="s">
        <v>18</v>
      </c>
      <c r="B9" s="188" t="s">
        <v>37</v>
      </c>
      <c r="C9" s="188"/>
      <c r="D9" s="188"/>
      <c r="E9" s="188"/>
      <c r="F9" s="188"/>
      <c r="G9" s="188"/>
      <c r="H9" s="188"/>
      <c r="I9" s="188"/>
      <c r="J9" s="188"/>
      <c r="K9" s="188"/>
      <c r="L9" s="188"/>
      <c r="M9" s="188"/>
      <c r="N9" s="188"/>
      <c r="O9" s="188"/>
      <c r="P9" s="188"/>
      <c r="Q9" s="188"/>
      <c r="R9" s="188"/>
      <c r="S9" s="188"/>
      <c r="T9" s="188"/>
      <c r="U9" s="188"/>
    </row>
    <row r="10" spans="1:21">
      <c r="A10" s="343"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c r="U11" s="188"/>
    </row>
    <row r="12" spans="1:21">
      <c r="A12" s="346" t="s">
        <v>836</v>
      </c>
      <c r="B12" s="188">
        <f>'2A. DCAC GRID INVERTER'!B16</f>
        <v>0.31379100000000004</v>
      </c>
      <c r="C12" s="188" t="s">
        <v>37</v>
      </c>
      <c r="D12" s="408"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910</v>
      </c>
      <c r="B13" s="188">
        <v>1</v>
      </c>
      <c r="C13" s="188" t="s">
        <v>18</v>
      </c>
      <c r="D13" s="408" t="s">
        <v>2</v>
      </c>
      <c r="E13" s="188" t="s">
        <v>29</v>
      </c>
      <c r="F13" s="37" t="s">
        <v>14</v>
      </c>
      <c r="G13" s="188" t="s">
        <v>33</v>
      </c>
      <c r="H13" s="188">
        <v>1</v>
      </c>
      <c r="I13" s="188">
        <v>1</v>
      </c>
      <c r="J13" s="188" t="s">
        <v>31</v>
      </c>
      <c r="K13" s="188" t="s">
        <v>31</v>
      </c>
      <c r="L13" s="188" t="s">
        <v>31</v>
      </c>
      <c r="M13" s="188" t="s">
        <v>31</v>
      </c>
      <c r="N13" s="188"/>
      <c r="O13" s="188"/>
      <c r="P13" s="188"/>
      <c r="Q13" s="188"/>
      <c r="R13" s="188"/>
      <c r="S13" s="188"/>
      <c r="T13" s="188"/>
      <c r="U13" s="188"/>
    </row>
    <row r="14" spans="1:21">
      <c r="A14" s="188" t="s">
        <v>911</v>
      </c>
      <c r="B14" s="188">
        <v>1</v>
      </c>
      <c r="C14" s="188" t="s">
        <v>18</v>
      </c>
      <c r="D14" s="408" t="s">
        <v>2</v>
      </c>
      <c r="E14" s="188" t="s">
        <v>29</v>
      </c>
      <c r="F14" s="37" t="s">
        <v>14</v>
      </c>
      <c r="G14" s="188" t="s">
        <v>33</v>
      </c>
      <c r="H14" s="188">
        <v>1</v>
      </c>
      <c r="I14" s="188">
        <v>1</v>
      </c>
      <c r="J14" s="188" t="s">
        <v>31</v>
      </c>
      <c r="K14" s="188" t="s">
        <v>31</v>
      </c>
      <c r="L14" s="188" t="s">
        <v>31</v>
      </c>
      <c r="M14" s="188" t="s">
        <v>31</v>
      </c>
      <c r="N14" s="188"/>
      <c r="O14" s="188"/>
      <c r="P14" s="188"/>
      <c r="Q14" s="188"/>
      <c r="R14" s="188"/>
      <c r="S14" s="188"/>
      <c r="T14" s="188"/>
      <c r="U14" s="188"/>
    </row>
    <row r="15" spans="1:21">
      <c r="A15" s="37" t="s">
        <v>179</v>
      </c>
      <c r="B15" s="392">
        <f>R15</f>
        <v>8.7000000000000001E-5</v>
      </c>
      <c r="C15" s="188" t="s">
        <v>37</v>
      </c>
      <c r="D15" s="188" t="s">
        <v>40</v>
      </c>
      <c r="E15" s="188" t="s">
        <v>29</v>
      </c>
      <c r="F15" s="37" t="s">
        <v>35</v>
      </c>
      <c r="G15" s="188" t="s">
        <v>33</v>
      </c>
      <c r="H15" s="188">
        <v>2</v>
      </c>
      <c r="I15" s="188">
        <f>LN(B15)</f>
        <v>-9.3496024393096899</v>
      </c>
      <c r="J15" s="188">
        <v>2.8722813232690055E-2</v>
      </c>
      <c r="K15" s="188" t="s">
        <v>31</v>
      </c>
      <c r="L15" s="188" t="s">
        <v>31</v>
      </c>
      <c r="M15" s="188" t="s">
        <v>31</v>
      </c>
      <c r="N15" s="188"/>
      <c r="O15" s="383" t="s">
        <v>580</v>
      </c>
      <c r="P15" s="394">
        <v>8.6999999999999994E-2</v>
      </c>
      <c r="Q15" s="188" t="s">
        <v>241</v>
      </c>
      <c r="R15" s="392">
        <f>P15*0.001</f>
        <v>8.7000000000000001E-5</v>
      </c>
      <c r="S15" s="188"/>
      <c r="T15" s="188"/>
      <c r="U15" s="188"/>
    </row>
    <row r="16" spans="1:21">
      <c r="A16" s="370" t="s">
        <v>5</v>
      </c>
      <c r="B16" s="371" t="s">
        <v>911</v>
      </c>
      <c r="C16" s="372"/>
      <c r="D16" s="353"/>
      <c r="E16" s="353"/>
      <c r="F16" s="353"/>
      <c r="G16" s="353"/>
      <c r="H16" s="353"/>
      <c r="I16" s="353"/>
      <c r="J16" s="353"/>
      <c r="K16" s="353"/>
      <c r="L16" s="353"/>
      <c r="M16" s="353"/>
      <c r="N16" s="188"/>
      <c r="O16" s="188"/>
      <c r="P16" s="188"/>
      <c r="Q16" s="188"/>
      <c r="R16" s="188"/>
      <c r="S16" s="188"/>
      <c r="T16" s="188"/>
      <c r="U16" s="188"/>
    </row>
    <row r="17" spans="1:21">
      <c r="A17" s="346" t="s">
        <v>7</v>
      </c>
      <c r="B17" s="188" t="s">
        <v>786</v>
      </c>
      <c r="C17" s="345"/>
      <c r="D17" s="188"/>
      <c r="E17" s="188"/>
      <c r="F17" s="188"/>
      <c r="G17" s="188"/>
      <c r="H17" s="188"/>
      <c r="I17" s="188"/>
      <c r="J17" s="188"/>
      <c r="K17" s="188"/>
      <c r="L17" s="188"/>
      <c r="M17" s="188"/>
      <c r="N17" s="188"/>
      <c r="O17" s="188"/>
      <c r="P17" s="188"/>
      <c r="Q17" s="188"/>
      <c r="R17" s="188"/>
      <c r="S17" s="188"/>
      <c r="T17" s="188"/>
      <c r="U17" s="188"/>
    </row>
    <row r="18" spans="1:21">
      <c r="A18" s="346" t="s">
        <v>9</v>
      </c>
      <c r="B18" s="188" t="s">
        <v>912</v>
      </c>
      <c r="C18" s="345"/>
      <c r="D18" s="188"/>
      <c r="E18" s="188"/>
      <c r="F18" s="188"/>
      <c r="G18" s="188"/>
      <c r="H18" s="188"/>
      <c r="I18" s="188"/>
      <c r="J18" s="188"/>
      <c r="K18" s="188"/>
      <c r="L18" s="188"/>
      <c r="M18" s="188"/>
      <c r="N18" s="188"/>
      <c r="O18" s="188"/>
      <c r="P18" s="188"/>
      <c r="Q18" s="188"/>
      <c r="R18" s="188"/>
      <c r="S18" s="188"/>
      <c r="T18" s="188"/>
      <c r="U18" s="188"/>
    </row>
    <row r="19" spans="1:21" ht="16.5" customHeight="1">
      <c r="A19" s="346" t="s">
        <v>11</v>
      </c>
      <c r="B19" s="347" t="s">
        <v>796</v>
      </c>
      <c r="C19" s="188"/>
      <c r="D19" s="188"/>
      <c r="E19" s="188"/>
      <c r="F19" s="188"/>
      <c r="G19" s="188"/>
      <c r="H19" s="188"/>
      <c r="I19" s="188"/>
      <c r="J19" s="188"/>
      <c r="K19" s="188"/>
      <c r="L19" s="188"/>
      <c r="M19" s="188"/>
      <c r="N19" s="188"/>
      <c r="O19" s="188"/>
      <c r="P19" s="188"/>
      <c r="Q19" s="188"/>
      <c r="R19" s="188"/>
      <c r="S19" s="188"/>
      <c r="T19" s="188"/>
      <c r="U19" s="188"/>
    </row>
    <row r="20" spans="1:21">
      <c r="A20" s="346"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46"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46"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46"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43"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43" t="s">
        <v>20</v>
      </c>
      <c r="B25" s="344" t="s">
        <v>21</v>
      </c>
      <c r="C25" s="344" t="s">
        <v>18</v>
      </c>
      <c r="D25" s="344" t="s">
        <v>22</v>
      </c>
      <c r="E25" s="344" t="s">
        <v>7</v>
      </c>
      <c r="F25" s="344" t="s">
        <v>13</v>
      </c>
      <c r="G25" s="344" t="s">
        <v>16</v>
      </c>
      <c r="H25" s="344" t="s">
        <v>23</v>
      </c>
      <c r="I25" s="344" t="s">
        <v>24</v>
      </c>
      <c r="J25" s="344" t="s">
        <v>25</v>
      </c>
      <c r="K25" s="344" t="s">
        <v>26</v>
      </c>
      <c r="L25" s="344" t="s">
        <v>27</v>
      </c>
      <c r="M25" s="344" t="s">
        <v>28</v>
      </c>
      <c r="N25" s="344" t="s">
        <v>11</v>
      </c>
      <c r="O25" s="188"/>
      <c r="P25" s="188"/>
      <c r="Q25" s="188"/>
      <c r="R25" s="188"/>
      <c r="S25" s="188"/>
      <c r="T25" s="188"/>
      <c r="U25" s="188"/>
    </row>
    <row r="26" spans="1:21">
      <c r="A26" s="188" t="s">
        <v>911</v>
      </c>
      <c r="B26" s="188">
        <v>1</v>
      </c>
      <c r="C26" s="188" t="s">
        <v>18</v>
      </c>
      <c r="D26" s="408" t="s">
        <v>2</v>
      </c>
      <c r="E26" s="188" t="s">
        <v>29</v>
      </c>
      <c r="F26" s="37" t="s">
        <v>14</v>
      </c>
      <c r="G26" s="188" t="s">
        <v>30</v>
      </c>
      <c r="H26" s="188">
        <v>1</v>
      </c>
      <c r="I26" s="188">
        <v>1</v>
      </c>
      <c r="J26" s="188" t="s">
        <v>31</v>
      </c>
      <c r="K26" s="188" t="s">
        <v>31</v>
      </c>
      <c r="L26" s="188" t="s">
        <v>31</v>
      </c>
      <c r="M26" s="188" t="s">
        <v>31</v>
      </c>
      <c r="N26" s="188"/>
      <c r="O26" s="188"/>
      <c r="P26" s="188"/>
      <c r="Q26" s="188"/>
      <c r="R26" s="188"/>
      <c r="S26" s="188"/>
      <c r="T26" s="188"/>
      <c r="U26" s="188"/>
    </row>
    <row r="27" spans="1:21">
      <c r="A27" s="37" t="s">
        <v>614</v>
      </c>
      <c r="B27" s="188">
        <v>0.17</v>
      </c>
      <c r="C27" s="188" t="s">
        <v>37</v>
      </c>
      <c r="D27" s="188" t="s">
        <v>40</v>
      </c>
      <c r="E27" s="188" t="s">
        <v>29</v>
      </c>
      <c r="F27" s="188" t="s">
        <v>59</v>
      </c>
      <c r="G27" s="188" t="s">
        <v>33</v>
      </c>
      <c r="H27" s="188">
        <v>1</v>
      </c>
      <c r="I27" s="188">
        <f>B27</f>
        <v>0.17</v>
      </c>
      <c r="J27" s="188" t="s">
        <v>31</v>
      </c>
      <c r="K27" s="188" t="s">
        <v>31</v>
      </c>
      <c r="L27" s="188" t="s">
        <v>31</v>
      </c>
      <c r="M27" s="188" t="s">
        <v>31</v>
      </c>
      <c r="N27" s="188"/>
      <c r="O27" s="188"/>
      <c r="P27" s="188"/>
      <c r="Q27" s="188"/>
      <c r="R27" s="188"/>
      <c r="S27" s="188"/>
      <c r="T27" s="188"/>
      <c r="U27" s="188"/>
    </row>
    <row r="28" spans="1:21">
      <c r="A28" s="37" t="s">
        <v>913</v>
      </c>
      <c r="B28" s="188">
        <f>R28</f>
        <v>0.112</v>
      </c>
      <c r="C28" s="188" t="s">
        <v>37</v>
      </c>
      <c r="D28" s="188" t="s">
        <v>40</v>
      </c>
      <c r="E28" s="188" t="s">
        <v>29</v>
      </c>
      <c r="F28" s="188" t="s">
        <v>59</v>
      </c>
      <c r="G28" s="188" t="s">
        <v>33</v>
      </c>
      <c r="H28" s="188">
        <v>2</v>
      </c>
      <c r="I28" s="188">
        <f>LN(B28)</f>
        <v>-2.1892564076870427</v>
      </c>
      <c r="J28" s="188">
        <v>3.7749172176353707E-2</v>
      </c>
      <c r="K28" s="188" t="s">
        <v>31</v>
      </c>
      <c r="L28" s="188" t="s">
        <v>31</v>
      </c>
      <c r="M28" s="188" t="s">
        <v>31</v>
      </c>
      <c r="N28" s="188"/>
      <c r="O28" s="401" t="s">
        <v>580</v>
      </c>
      <c r="P28" s="138">
        <v>112</v>
      </c>
      <c r="Q28" s="188" t="s">
        <v>241</v>
      </c>
      <c r="R28" s="188">
        <f>P28*0.001</f>
        <v>0.112</v>
      </c>
      <c r="S28" s="188"/>
      <c r="T28" s="188"/>
      <c r="U28" s="188"/>
    </row>
    <row r="29" spans="1:21">
      <c r="A29" s="37" t="s">
        <v>914</v>
      </c>
      <c r="B29" s="188">
        <f>R29</f>
        <v>6.7000000000000002E-3</v>
      </c>
      <c r="C29" s="188" t="s">
        <v>37</v>
      </c>
      <c r="D29" s="188" t="s">
        <v>40</v>
      </c>
      <c r="E29" s="188" t="s">
        <v>29</v>
      </c>
      <c r="F29" s="188" t="s">
        <v>59</v>
      </c>
      <c r="G29" s="188" t="s">
        <v>33</v>
      </c>
      <c r="H29" s="188">
        <v>2</v>
      </c>
      <c r="I29" s="188">
        <f>LN(B29)</f>
        <v>-5.005647752585217</v>
      </c>
      <c r="J29" s="188">
        <v>3.7749172176353707E-2</v>
      </c>
      <c r="K29" s="188" t="s">
        <v>31</v>
      </c>
      <c r="L29" s="188" t="s">
        <v>31</v>
      </c>
      <c r="M29" s="188" t="s">
        <v>31</v>
      </c>
      <c r="N29" s="188"/>
      <c r="O29" s="401" t="s">
        <v>580</v>
      </c>
      <c r="P29" s="138">
        <v>6.7</v>
      </c>
      <c r="Q29" s="188" t="s">
        <v>241</v>
      </c>
      <c r="R29" s="188">
        <f t="shared" ref="R29:R30" si="0">P29*0.001</f>
        <v>6.7000000000000002E-3</v>
      </c>
      <c r="S29" s="188"/>
      <c r="T29" s="188"/>
      <c r="U29" s="188"/>
    </row>
    <row r="30" spans="1:21">
      <c r="A30" s="37" t="s">
        <v>915</v>
      </c>
      <c r="B30" s="188">
        <f>R30</f>
        <v>5.1000000000000004E-2</v>
      </c>
      <c r="C30" s="188" t="s">
        <v>37</v>
      </c>
      <c r="D30" s="188" t="s">
        <v>40</v>
      </c>
      <c r="E30" s="188" t="s">
        <v>29</v>
      </c>
      <c r="F30" s="188" t="s">
        <v>59</v>
      </c>
      <c r="G30" s="188" t="s">
        <v>33</v>
      </c>
      <c r="H30" s="188">
        <v>2</v>
      </c>
      <c r="I30" s="188">
        <f>LN(B30)</f>
        <v>-2.9759296462578111</v>
      </c>
      <c r="J30" s="188">
        <v>3.7749172176353707E-2</v>
      </c>
      <c r="K30" s="188" t="s">
        <v>31</v>
      </c>
      <c r="L30" s="188" t="s">
        <v>31</v>
      </c>
      <c r="M30" s="188" t="s">
        <v>31</v>
      </c>
      <c r="N30" s="188"/>
      <c r="O30" s="401" t="s">
        <v>580</v>
      </c>
      <c r="P30" s="138">
        <v>51</v>
      </c>
      <c r="Q30" s="188" t="s">
        <v>241</v>
      </c>
      <c r="R30" s="188">
        <f t="shared" si="0"/>
        <v>5.1000000000000004E-2</v>
      </c>
      <c r="S30" s="188"/>
      <c r="T30" s="188"/>
      <c r="U30" s="188"/>
    </row>
    <row r="31" spans="1:21">
      <c r="A31" s="370" t="s">
        <v>5</v>
      </c>
      <c r="B31" s="371" t="s">
        <v>910</v>
      </c>
      <c r="C31" s="372"/>
      <c r="D31" s="353"/>
      <c r="E31" s="353"/>
      <c r="F31" s="353"/>
      <c r="G31" s="353"/>
      <c r="H31" s="353"/>
      <c r="I31" s="353"/>
      <c r="J31" s="353"/>
      <c r="K31" s="353"/>
      <c r="L31" s="353"/>
      <c r="M31" s="353"/>
      <c r="N31" s="188"/>
      <c r="O31" s="188"/>
      <c r="P31" s="188"/>
      <c r="Q31" s="188"/>
      <c r="R31" s="188"/>
      <c r="S31" s="188"/>
      <c r="T31" s="188"/>
      <c r="U31" s="188"/>
    </row>
    <row r="32" spans="1:21">
      <c r="A32" s="346" t="s">
        <v>7</v>
      </c>
      <c r="B32" s="188" t="s">
        <v>786</v>
      </c>
      <c r="C32" s="345"/>
      <c r="D32" s="188"/>
      <c r="E32" s="188"/>
      <c r="F32" s="188"/>
      <c r="G32" s="188"/>
      <c r="H32" s="188"/>
      <c r="I32" s="188"/>
      <c r="J32" s="188"/>
      <c r="K32" s="188"/>
      <c r="L32" s="188"/>
      <c r="M32" s="188"/>
      <c r="N32" s="188"/>
      <c r="O32" s="188"/>
      <c r="P32" s="188"/>
      <c r="Q32" s="188"/>
      <c r="R32" s="188"/>
      <c r="S32" s="188"/>
      <c r="T32" s="188"/>
      <c r="U32" s="188"/>
    </row>
    <row r="33" spans="1:21">
      <c r="A33" s="346" t="s">
        <v>9</v>
      </c>
      <c r="B33" s="188" t="s">
        <v>916</v>
      </c>
      <c r="C33" s="345"/>
      <c r="D33" s="188"/>
      <c r="E33" s="188"/>
      <c r="F33" s="188"/>
      <c r="G33" s="188"/>
      <c r="H33" s="188"/>
      <c r="I33" s="188"/>
      <c r="J33" s="188"/>
      <c r="K33" s="188"/>
      <c r="L33" s="188"/>
      <c r="M33" s="188"/>
      <c r="N33" s="188"/>
      <c r="O33" s="188"/>
      <c r="P33" s="188"/>
      <c r="Q33" s="188"/>
      <c r="R33" s="188"/>
      <c r="S33" s="188"/>
      <c r="T33" s="188"/>
      <c r="U33" s="188"/>
    </row>
    <row r="34" spans="1:21" ht="18" customHeight="1">
      <c r="A34" s="346" t="s">
        <v>11</v>
      </c>
      <c r="B34" s="347" t="s">
        <v>796</v>
      </c>
      <c r="C34" s="188"/>
      <c r="D34" s="188"/>
      <c r="E34" s="188"/>
      <c r="F34" s="188"/>
      <c r="G34" s="188"/>
      <c r="H34" s="188"/>
      <c r="I34" s="188"/>
      <c r="J34" s="188"/>
      <c r="K34" s="188"/>
      <c r="L34" s="188"/>
      <c r="M34" s="188"/>
      <c r="N34" s="188"/>
      <c r="O34" s="188"/>
      <c r="P34" s="188"/>
      <c r="Q34" s="188"/>
      <c r="R34" s="188"/>
      <c r="S34" s="188"/>
      <c r="T34" s="188"/>
      <c r="U34" s="188"/>
    </row>
    <row r="35" spans="1:21">
      <c r="A35" s="346"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46"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46"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46"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43"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43" t="s">
        <v>20</v>
      </c>
      <c r="B40" s="344" t="s">
        <v>21</v>
      </c>
      <c r="C40" s="344" t="s">
        <v>18</v>
      </c>
      <c r="D40" s="344" t="s">
        <v>22</v>
      </c>
      <c r="E40" s="344" t="s">
        <v>7</v>
      </c>
      <c r="F40" s="344" t="s">
        <v>13</v>
      </c>
      <c r="G40" s="344" t="s">
        <v>16</v>
      </c>
      <c r="H40" s="344" t="s">
        <v>23</v>
      </c>
      <c r="I40" s="344" t="s">
        <v>24</v>
      </c>
      <c r="J40" s="344" t="s">
        <v>25</v>
      </c>
      <c r="K40" s="344" t="s">
        <v>26</v>
      </c>
      <c r="L40" s="344" t="s">
        <v>27</v>
      </c>
      <c r="M40" s="344" t="s">
        <v>28</v>
      </c>
      <c r="N40" s="344" t="s">
        <v>11</v>
      </c>
      <c r="O40" s="188"/>
      <c r="P40" s="188"/>
      <c r="Q40" s="188"/>
      <c r="R40" s="188"/>
      <c r="S40" s="188"/>
      <c r="T40" s="188"/>
      <c r="U40" s="188"/>
    </row>
    <row r="41" spans="1:21">
      <c r="A41" s="188" t="s">
        <v>910</v>
      </c>
      <c r="B41" s="188">
        <v>1</v>
      </c>
      <c r="C41" s="188" t="s">
        <v>18</v>
      </c>
      <c r="D41" s="408" t="s">
        <v>2</v>
      </c>
      <c r="E41" s="188" t="s">
        <v>29</v>
      </c>
      <c r="F41" s="37" t="s">
        <v>14</v>
      </c>
      <c r="G41" s="188" t="s">
        <v>30</v>
      </c>
      <c r="H41" s="188">
        <v>1</v>
      </c>
      <c r="I41" s="188">
        <f t="shared" ref="I41:I43" si="1">B41</f>
        <v>1</v>
      </c>
      <c r="J41" s="188" t="s">
        <v>31</v>
      </c>
      <c r="K41" s="188" t="s">
        <v>31</v>
      </c>
      <c r="L41" s="188" t="s">
        <v>31</v>
      </c>
      <c r="M41" s="188" t="s">
        <v>31</v>
      </c>
      <c r="N41" s="188"/>
      <c r="O41" s="188"/>
      <c r="P41" s="188"/>
      <c r="Q41" s="188"/>
      <c r="R41" s="188"/>
      <c r="S41" s="188"/>
      <c r="T41" s="188"/>
      <c r="U41" s="188"/>
    </row>
    <row r="42" spans="1:21">
      <c r="A42" s="37" t="s">
        <v>917</v>
      </c>
      <c r="B42" s="188">
        <v>1</v>
      </c>
      <c r="C42" s="188" t="s">
        <v>18</v>
      </c>
      <c r="D42" s="408" t="s">
        <v>2</v>
      </c>
      <c r="E42" s="188" t="s">
        <v>29</v>
      </c>
      <c r="F42" s="37" t="s">
        <v>14</v>
      </c>
      <c r="G42" s="188" t="s">
        <v>33</v>
      </c>
      <c r="H42" s="188">
        <v>1</v>
      </c>
      <c r="I42" s="188">
        <f t="shared" si="1"/>
        <v>1</v>
      </c>
      <c r="J42" s="188" t="s">
        <v>31</v>
      </c>
      <c r="K42" s="188" t="s">
        <v>31</v>
      </c>
      <c r="L42" s="188" t="s">
        <v>31</v>
      </c>
      <c r="M42" s="188" t="s">
        <v>31</v>
      </c>
      <c r="N42" s="188"/>
      <c r="O42" s="401" t="s">
        <v>241</v>
      </c>
      <c r="P42" s="414">
        <v>0.02</v>
      </c>
      <c r="Q42" s="188" t="s">
        <v>241</v>
      </c>
      <c r="R42" s="188">
        <f>P42</f>
        <v>0.02</v>
      </c>
      <c r="S42" s="188"/>
      <c r="T42" s="188"/>
      <c r="U42" s="188"/>
    </row>
    <row r="43" spans="1:21">
      <c r="A43" s="37" t="s">
        <v>918</v>
      </c>
      <c r="B43" s="188">
        <v>1</v>
      </c>
      <c r="C43" s="188" t="s">
        <v>18</v>
      </c>
      <c r="D43" s="408" t="s">
        <v>2</v>
      </c>
      <c r="E43" s="188" t="s">
        <v>29</v>
      </c>
      <c r="F43" s="37" t="s">
        <v>14</v>
      </c>
      <c r="G43" s="188" t="s">
        <v>33</v>
      </c>
      <c r="H43" s="188">
        <v>1</v>
      </c>
      <c r="I43" s="188">
        <f t="shared" si="1"/>
        <v>1</v>
      </c>
      <c r="J43" s="188" t="s">
        <v>31</v>
      </c>
      <c r="K43" s="188" t="s">
        <v>31</v>
      </c>
      <c r="L43" s="188" t="s">
        <v>31</v>
      </c>
      <c r="M43" s="188" t="s">
        <v>31</v>
      </c>
      <c r="N43" s="188"/>
      <c r="O43" s="188"/>
      <c r="P43" s="188"/>
      <c r="Q43" s="188"/>
      <c r="R43" s="188"/>
      <c r="S43" s="188"/>
      <c r="T43" s="188"/>
      <c r="U43" s="188"/>
    </row>
    <row r="44" spans="1:21">
      <c r="A44" s="346" t="s">
        <v>269</v>
      </c>
      <c r="B44" s="358">
        <f>R44</f>
        <v>0.03</v>
      </c>
      <c r="C44" s="188" t="s">
        <v>39</v>
      </c>
      <c r="D44" s="188" t="s">
        <v>40</v>
      </c>
      <c r="E44" s="188" t="s">
        <v>29</v>
      </c>
      <c r="F44" s="37" t="s">
        <v>35</v>
      </c>
      <c r="G44" s="188" t="s">
        <v>33</v>
      </c>
      <c r="H44" s="188">
        <v>2</v>
      </c>
      <c r="I44" s="188">
        <f t="shared" ref="I44" si="2">LN(B44)</f>
        <v>-3.5065578973199818</v>
      </c>
      <c r="J44" s="188">
        <v>7.2284161474004766E-2</v>
      </c>
      <c r="K44" s="188" t="s">
        <v>31</v>
      </c>
      <c r="L44" s="188" t="s">
        <v>31</v>
      </c>
      <c r="M44" s="188" t="s">
        <v>31</v>
      </c>
      <c r="N44" s="188"/>
      <c r="O44" s="383" t="s">
        <v>248</v>
      </c>
      <c r="P44" s="393">
        <v>0.03</v>
      </c>
      <c r="Q44" s="188" t="s">
        <v>248</v>
      </c>
      <c r="R44" s="358">
        <f>P44</f>
        <v>0.03</v>
      </c>
      <c r="S44" s="188"/>
      <c r="T44" s="188"/>
      <c r="U44" s="188"/>
    </row>
    <row r="45" spans="1:21">
      <c r="A45" s="370" t="s">
        <v>5</v>
      </c>
      <c r="B45" s="371" t="s">
        <v>917</v>
      </c>
      <c r="C45" s="372"/>
      <c r="D45" s="353"/>
      <c r="E45" s="353"/>
      <c r="F45" s="353"/>
      <c r="G45" s="353"/>
      <c r="H45" s="353"/>
      <c r="I45" s="353"/>
      <c r="J45" s="353"/>
      <c r="K45" s="353"/>
      <c r="L45" s="353"/>
      <c r="M45" s="353"/>
      <c r="N45" s="188"/>
      <c r="O45" s="188"/>
      <c r="P45" s="188"/>
      <c r="Q45" s="188"/>
      <c r="R45" s="188"/>
      <c r="S45" s="188"/>
      <c r="T45" s="188"/>
      <c r="U45" s="188"/>
    </row>
    <row r="46" spans="1:21">
      <c r="A46" s="346" t="s">
        <v>7</v>
      </c>
      <c r="B46" s="188" t="s">
        <v>786</v>
      </c>
      <c r="C46" s="345"/>
      <c r="D46" s="188"/>
      <c r="E46" s="188"/>
      <c r="F46" s="188"/>
      <c r="G46" s="188"/>
      <c r="H46" s="188"/>
      <c r="I46" s="188"/>
      <c r="J46" s="188"/>
      <c r="K46" s="188"/>
      <c r="L46" s="188"/>
      <c r="M46" s="188"/>
      <c r="N46" s="188"/>
      <c r="O46" s="188"/>
      <c r="P46" s="188"/>
      <c r="Q46" s="188"/>
      <c r="R46" s="188"/>
      <c r="S46" s="188"/>
      <c r="T46" s="188"/>
      <c r="U46" s="188"/>
    </row>
    <row r="47" spans="1:21">
      <c r="A47" s="346" t="s">
        <v>9</v>
      </c>
      <c r="B47" s="188" t="s">
        <v>919</v>
      </c>
      <c r="C47" s="345"/>
      <c r="D47" s="188"/>
      <c r="E47" s="188"/>
      <c r="F47" s="188"/>
      <c r="G47" s="188"/>
      <c r="H47" s="188"/>
      <c r="I47" s="188"/>
      <c r="J47" s="188"/>
      <c r="K47" s="188"/>
      <c r="L47" s="188"/>
      <c r="M47" s="188"/>
      <c r="N47" s="188"/>
      <c r="O47" s="188"/>
      <c r="P47" s="188"/>
      <c r="Q47" s="188"/>
      <c r="R47" s="188"/>
      <c r="S47" s="188"/>
      <c r="T47" s="188"/>
      <c r="U47" s="188"/>
    </row>
    <row r="48" spans="1:21" ht="78.599999999999994">
      <c r="A48" s="346" t="s">
        <v>11</v>
      </c>
      <c r="B48" s="347" t="s">
        <v>796</v>
      </c>
      <c r="C48" s="188"/>
      <c r="D48" s="188"/>
      <c r="E48" s="188"/>
      <c r="F48" s="188"/>
      <c r="G48" s="188"/>
      <c r="H48" s="188"/>
      <c r="I48" s="188"/>
      <c r="J48" s="188"/>
      <c r="K48" s="188"/>
      <c r="L48" s="188"/>
      <c r="M48" s="188"/>
      <c r="N48" s="188"/>
      <c r="O48" s="188"/>
      <c r="P48" s="188"/>
      <c r="Q48" s="188"/>
      <c r="R48" s="188"/>
      <c r="S48" s="188"/>
      <c r="T48" s="188"/>
      <c r="U48" s="188"/>
    </row>
    <row r="49" spans="1:21">
      <c r="A49" s="346"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46" t="s">
        <v>15</v>
      </c>
      <c r="B50" s="188">
        <v>1</v>
      </c>
      <c r="C50" s="188"/>
      <c r="D50" s="188"/>
      <c r="E50" s="188"/>
      <c r="F50" s="188"/>
      <c r="G50" s="188"/>
      <c r="H50" s="188"/>
      <c r="I50" s="188"/>
      <c r="J50" s="188"/>
      <c r="K50" s="188"/>
      <c r="L50" s="188"/>
      <c r="M50" s="188"/>
      <c r="N50" s="188"/>
      <c r="O50" s="188"/>
      <c r="P50" s="188"/>
      <c r="Q50" s="188"/>
      <c r="R50" s="188"/>
      <c r="S50" s="188"/>
      <c r="T50" s="188"/>
      <c r="U50" s="188"/>
    </row>
    <row r="51" spans="1:21">
      <c r="A51" s="346"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46" t="s">
        <v>18</v>
      </c>
      <c r="B52" s="188" t="s">
        <v>18</v>
      </c>
      <c r="C52" s="188"/>
      <c r="D52" s="188"/>
      <c r="E52" s="188"/>
      <c r="F52" s="188"/>
      <c r="G52" s="188"/>
      <c r="H52" s="188"/>
      <c r="I52" s="188"/>
      <c r="J52" s="188"/>
      <c r="K52" s="188"/>
      <c r="L52" s="188"/>
      <c r="M52" s="188"/>
      <c r="N52" s="188"/>
      <c r="O52" s="188"/>
      <c r="P52" s="188"/>
      <c r="Q52" s="188"/>
      <c r="R52" s="188"/>
      <c r="S52" s="188"/>
      <c r="T52" s="188"/>
      <c r="U52" s="188"/>
    </row>
    <row r="53" spans="1:21">
      <c r="A53" s="343"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43" t="s">
        <v>20</v>
      </c>
      <c r="B54" s="344" t="s">
        <v>21</v>
      </c>
      <c r="C54" s="344" t="s">
        <v>18</v>
      </c>
      <c r="D54" s="344" t="s">
        <v>22</v>
      </c>
      <c r="E54" s="344" t="s">
        <v>7</v>
      </c>
      <c r="F54" s="344" t="s">
        <v>13</v>
      </c>
      <c r="G54" s="344" t="s">
        <v>16</v>
      </c>
      <c r="H54" s="344" t="s">
        <v>23</v>
      </c>
      <c r="I54" s="344" t="s">
        <v>24</v>
      </c>
      <c r="J54" s="344" t="s">
        <v>25</v>
      </c>
      <c r="K54" s="344" t="s">
        <v>26</v>
      </c>
      <c r="L54" s="344" t="s">
        <v>27</v>
      </c>
      <c r="M54" s="344" t="s">
        <v>28</v>
      </c>
      <c r="N54" s="344" t="s">
        <v>11</v>
      </c>
      <c r="O54" s="188"/>
      <c r="P54" s="188"/>
      <c r="Q54" s="188"/>
      <c r="R54" s="188"/>
      <c r="S54" s="188"/>
      <c r="T54" s="188"/>
      <c r="U54" s="188"/>
    </row>
    <row r="55" spans="1:21">
      <c r="A55" s="37" t="s">
        <v>917</v>
      </c>
      <c r="B55" s="188">
        <v>1</v>
      </c>
      <c r="C55" s="188" t="s">
        <v>18</v>
      </c>
      <c r="D55" s="408" t="s">
        <v>2</v>
      </c>
      <c r="E55" s="188" t="s">
        <v>29</v>
      </c>
      <c r="F55" s="37" t="s">
        <v>14</v>
      </c>
      <c r="G55" s="188" t="s">
        <v>30</v>
      </c>
      <c r="H55" s="188">
        <v>1</v>
      </c>
      <c r="I55" s="188">
        <f>B55</f>
        <v>1</v>
      </c>
      <c r="J55" s="188" t="s">
        <v>31</v>
      </c>
      <c r="K55" s="188" t="s">
        <v>31</v>
      </c>
      <c r="L55" s="188" t="s">
        <v>31</v>
      </c>
      <c r="M55" s="188" t="s">
        <v>31</v>
      </c>
      <c r="N55" s="188"/>
      <c r="O55" s="401" t="s">
        <v>241</v>
      </c>
      <c r="P55" s="414">
        <v>0.02</v>
      </c>
      <c r="Q55" s="188" t="s">
        <v>241</v>
      </c>
      <c r="R55" s="188">
        <f>P55</f>
        <v>0.02</v>
      </c>
      <c r="S55" s="188"/>
      <c r="T55" s="188"/>
      <c r="U55" s="188"/>
    </row>
    <row r="56" spans="1:21">
      <c r="A56" s="37" t="s">
        <v>179</v>
      </c>
      <c r="B56" s="392">
        <f>R56</f>
        <v>0.06</v>
      </c>
      <c r="C56" s="188" t="s">
        <v>37</v>
      </c>
      <c r="D56" s="188" t="s">
        <v>40</v>
      </c>
      <c r="E56" s="188" t="s">
        <v>29</v>
      </c>
      <c r="F56" s="37" t="s">
        <v>35</v>
      </c>
      <c r="G56" s="188" t="s">
        <v>33</v>
      </c>
      <c r="H56" s="188">
        <v>2</v>
      </c>
      <c r="I56" s="188">
        <f>LN(B56)</f>
        <v>-2.8134107167600364</v>
      </c>
      <c r="J56" s="188">
        <v>2.8722813232690055E-2</v>
      </c>
      <c r="K56" s="188" t="s">
        <v>31</v>
      </c>
      <c r="L56" s="188" t="s">
        <v>31</v>
      </c>
      <c r="M56" s="188" t="s">
        <v>31</v>
      </c>
      <c r="N56" s="188"/>
      <c r="O56" s="383" t="s">
        <v>241</v>
      </c>
      <c r="P56" s="394">
        <v>0.06</v>
      </c>
      <c r="Q56" s="188" t="s">
        <v>241</v>
      </c>
      <c r="R56" s="392">
        <f>P56</f>
        <v>0.06</v>
      </c>
      <c r="S56" s="188"/>
      <c r="T56" s="188"/>
      <c r="U56" s="188"/>
    </row>
    <row r="57" spans="1:21">
      <c r="A57" s="346" t="s">
        <v>269</v>
      </c>
      <c r="B57" s="350">
        <f>R57</f>
        <v>1.7999999999999999E-2</v>
      </c>
      <c r="C57" s="188" t="s">
        <v>39</v>
      </c>
      <c r="D57" s="188" t="s">
        <v>40</v>
      </c>
      <c r="E57" s="188" t="s">
        <v>29</v>
      </c>
      <c r="F57" s="37" t="s">
        <v>35</v>
      </c>
      <c r="G57" s="188" t="s">
        <v>33</v>
      </c>
      <c r="H57" s="188">
        <v>2</v>
      </c>
      <c r="I57" s="188">
        <f t="shared" ref="I57" si="3">LN(B57)</f>
        <v>-4.0173835210859723</v>
      </c>
      <c r="J57" s="188">
        <v>7.2284161474004766E-2</v>
      </c>
      <c r="K57" s="188" t="s">
        <v>31</v>
      </c>
      <c r="L57" s="188" t="s">
        <v>31</v>
      </c>
      <c r="M57" s="188" t="s">
        <v>31</v>
      </c>
      <c r="N57" s="188"/>
      <c r="O57" s="383" t="s">
        <v>248</v>
      </c>
      <c r="P57" s="440">
        <v>1.7999999999999999E-2</v>
      </c>
      <c r="Q57" s="188" t="s">
        <v>248</v>
      </c>
      <c r="R57" s="350">
        <f>P57</f>
        <v>1.7999999999999999E-2</v>
      </c>
      <c r="S57" s="188"/>
      <c r="T57" s="188"/>
      <c r="U57" s="188"/>
    </row>
    <row r="58" spans="1:21">
      <c r="A58" s="370" t="s">
        <v>5</v>
      </c>
      <c r="B58" s="405" t="s">
        <v>918</v>
      </c>
      <c r="C58" s="372"/>
      <c r="D58" s="353"/>
      <c r="E58" s="353"/>
      <c r="F58" s="353"/>
      <c r="G58" s="353"/>
      <c r="H58" s="353"/>
      <c r="I58" s="353"/>
      <c r="J58" s="353"/>
      <c r="K58" s="353"/>
      <c r="L58" s="353"/>
      <c r="M58" s="353"/>
      <c r="N58" s="188"/>
      <c r="O58" s="188"/>
      <c r="P58" s="188"/>
      <c r="Q58" s="188"/>
      <c r="R58" s="188"/>
      <c r="S58" s="188"/>
      <c r="T58" s="188"/>
      <c r="U58" s="188"/>
    </row>
    <row r="59" spans="1:21">
      <c r="A59" s="346" t="s">
        <v>7</v>
      </c>
      <c r="B59" s="188" t="s">
        <v>786</v>
      </c>
      <c r="C59" s="345"/>
      <c r="D59" s="188"/>
      <c r="E59" s="188"/>
      <c r="F59" s="188"/>
      <c r="G59" s="188"/>
      <c r="H59" s="188"/>
      <c r="I59" s="188"/>
      <c r="J59" s="188"/>
      <c r="K59" s="188"/>
      <c r="L59" s="188"/>
      <c r="M59" s="188"/>
      <c r="N59" s="188"/>
      <c r="O59" s="188"/>
      <c r="P59" s="188"/>
      <c r="Q59" s="188"/>
      <c r="R59" s="188"/>
      <c r="S59" s="188"/>
      <c r="T59" s="188"/>
      <c r="U59" s="188"/>
    </row>
    <row r="60" spans="1:21">
      <c r="A60" s="424" t="s">
        <v>9</v>
      </c>
      <c r="B60" s="188" t="s">
        <v>920</v>
      </c>
      <c r="C60" s="345"/>
      <c r="D60" s="188"/>
      <c r="E60" s="188"/>
      <c r="F60" s="188"/>
      <c r="G60" s="188"/>
      <c r="H60" s="188"/>
      <c r="I60" s="188"/>
      <c r="J60" s="188"/>
      <c r="K60" s="188"/>
      <c r="L60" s="188"/>
      <c r="M60" s="188"/>
      <c r="N60" s="188"/>
      <c r="O60" s="188"/>
      <c r="P60" s="188"/>
      <c r="Q60" s="188"/>
      <c r="R60" s="188"/>
      <c r="S60" s="188"/>
      <c r="T60" s="188"/>
      <c r="U60" s="188"/>
    </row>
    <row r="61" spans="1:21" ht="27.75" customHeight="1">
      <c r="A61" s="346" t="s">
        <v>11</v>
      </c>
      <c r="B61" s="347" t="s">
        <v>796</v>
      </c>
      <c r="C61" s="188"/>
      <c r="D61" s="188"/>
      <c r="E61" s="188"/>
      <c r="F61" s="188"/>
      <c r="G61" s="188"/>
      <c r="H61" s="188"/>
      <c r="I61" s="188"/>
      <c r="J61" s="188"/>
      <c r="K61" s="188"/>
      <c r="L61" s="188"/>
      <c r="M61" s="188"/>
      <c r="N61" s="188"/>
      <c r="O61" s="188"/>
      <c r="P61" s="188"/>
      <c r="Q61" s="188"/>
      <c r="R61" s="188"/>
      <c r="S61" s="188"/>
      <c r="T61" s="188"/>
      <c r="U61" s="188"/>
    </row>
    <row r="62" spans="1:21">
      <c r="A62" s="346"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46"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46"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46"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43"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43" t="s">
        <v>20</v>
      </c>
      <c r="B67" s="344" t="s">
        <v>21</v>
      </c>
      <c r="C67" s="344" t="s">
        <v>18</v>
      </c>
      <c r="D67" s="344" t="s">
        <v>22</v>
      </c>
      <c r="E67" s="344" t="s">
        <v>7</v>
      </c>
      <c r="F67" s="344" t="s">
        <v>13</v>
      </c>
      <c r="G67" s="344" t="s">
        <v>16</v>
      </c>
      <c r="H67" s="344" t="s">
        <v>23</v>
      </c>
      <c r="I67" s="344" t="s">
        <v>24</v>
      </c>
      <c r="J67" s="344" t="s">
        <v>25</v>
      </c>
      <c r="K67" s="344" t="s">
        <v>26</v>
      </c>
      <c r="L67" s="344" t="s">
        <v>27</v>
      </c>
      <c r="M67" s="344" t="s">
        <v>28</v>
      </c>
      <c r="N67" s="344" t="s">
        <v>11</v>
      </c>
      <c r="O67" s="188"/>
      <c r="P67" s="188"/>
      <c r="Q67" s="188"/>
      <c r="R67" s="188"/>
      <c r="S67" s="188"/>
      <c r="T67" s="188"/>
      <c r="U67" s="188"/>
    </row>
    <row r="68" spans="1:21">
      <c r="A68" s="37" t="s">
        <v>918</v>
      </c>
      <c r="B68" s="188">
        <v>1</v>
      </c>
      <c r="C68" s="188" t="s">
        <v>18</v>
      </c>
      <c r="D68" s="408" t="s">
        <v>2</v>
      </c>
      <c r="E68" s="188" t="s">
        <v>29</v>
      </c>
      <c r="F68" s="37" t="s">
        <v>14</v>
      </c>
      <c r="G68" s="188" t="s">
        <v>30</v>
      </c>
      <c r="H68" s="188">
        <v>1</v>
      </c>
      <c r="I68" s="188">
        <f t="shared" ref="I68:I70" si="4">B68</f>
        <v>1</v>
      </c>
      <c r="J68" s="188" t="s">
        <v>31</v>
      </c>
      <c r="K68" s="188" t="s">
        <v>31</v>
      </c>
      <c r="L68" s="188" t="s">
        <v>31</v>
      </c>
      <c r="M68" s="188" t="s">
        <v>31</v>
      </c>
      <c r="N68" s="188"/>
      <c r="O68" s="188"/>
      <c r="P68" s="188"/>
      <c r="Q68" s="188"/>
      <c r="R68" s="188"/>
      <c r="S68" s="188"/>
      <c r="T68" s="188"/>
      <c r="U68" s="188"/>
    </row>
    <row r="69" spans="1:21">
      <c r="A69" s="37" t="s">
        <v>921</v>
      </c>
      <c r="B69" s="392">
        <v>0.03</v>
      </c>
      <c r="C69" s="188" t="s">
        <v>37</v>
      </c>
      <c r="D69" s="408" t="s">
        <v>2</v>
      </c>
      <c r="E69" s="188" t="s">
        <v>29</v>
      </c>
      <c r="F69" s="37" t="s">
        <v>14</v>
      </c>
      <c r="G69" s="188" t="s">
        <v>33</v>
      </c>
      <c r="H69" s="188">
        <v>1</v>
      </c>
      <c r="I69" s="188">
        <f t="shared" si="4"/>
        <v>0.03</v>
      </c>
      <c r="J69" s="188" t="s">
        <v>31</v>
      </c>
      <c r="K69" s="188" t="s">
        <v>31</v>
      </c>
      <c r="L69" s="188" t="s">
        <v>31</v>
      </c>
      <c r="M69" s="188" t="s">
        <v>31</v>
      </c>
      <c r="N69" s="188"/>
      <c r="O69" s="383"/>
      <c r="P69" s="394"/>
      <c r="Q69" s="188" t="s">
        <v>241</v>
      </c>
      <c r="R69" s="392">
        <v>0.01</v>
      </c>
      <c r="S69" s="188"/>
      <c r="T69" s="188"/>
      <c r="U69" s="188"/>
    </row>
    <row r="70" spans="1:21">
      <c r="A70" s="37" t="s">
        <v>922</v>
      </c>
      <c r="B70" s="350">
        <v>1</v>
      </c>
      <c r="C70" s="188" t="s">
        <v>18</v>
      </c>
      <c r="D70" s="408" t="s">
        <v>2</v>
      </c>
      <c r="E70" s="188" t="s">
        <v>29</v>
      </c>
      <c r="F70" s="37" t="s">
        <v>14</v>
      </c>
      <c r="G70" s="188" t="s">
        <v>33</v>
      </c>
      <c r="H70" s="188">
        <v>1</v>
      </c>
      <c r="I70" s="188">
        <f t="shared" si="4"/>
        <v>1</v>
      </c>
      <c r="J70" s="188" t="s">
        <v>31</v>
      </c>
      <c r="K70" s="188" t="s">
        <v>31</v>
      </c>
      <c r="L70" s="188" t="s">
        <v>31</v>
      </c>
      <c r="M70" s="188" t="s">
        <v>31</v>
      </c>
      <c r="N70" s="188"/>
      <c r="O70" s="383"/>
      <c r="P70" s="440"/>
      <c r="Q70" s="188"/>
      <c r="R70" s="350"/>
      <c r="S70" s="188"/>
      <c r="T70" s="188"/>
      <c r="U70" s="188"/>
    </row>
    <row r="71" spans="1:21">
      <c r="A71" s="346" t="s">
        <v>269</v>
      </c>
      <c r="B71" s="350">
        <f>R71</f>
        <v>0.21</v>
      </c>
      <c r="C71" s="188" t="s">
        <v>39</v>
      </c>
      <c r="D71" s="188" t="s">
        <v>40</v>
      </c>
      <c r="E71" s="188" t="s">
        <v>29</v>
      </c>
      <c r="F71" s="37" t="s">
        <v>35</v>
      </c>
      <c r="G71" s="188" t="s">
        <v>33</v>
      </c>
      <c r="H71" s="188">
        <v>2</v>
      </c>
      <c r="I71" s="188">
        <f t="shared" ref="I71" si="5">LN(B71)</f>
        <v>-1.5606477482646683</v>
      </c>
      <c r="J71" s="188">
        <v>7.2284161474004766E-2</v>
      </c>
      <c r="K71" s="188" t="s">
        <v>31</v>
      </c>
      <c r="L71" s="188" t="s">
        <v>31</v>
      </c>
      <c r="M71" s="188" t="s">
        <v>31</v>
      </c>
      <c r="N71" s="188"/>
      <c r="O71" s="383" t="s">
        <v>248</v>
      </c>
      <c r="P71" s="440">
        <v>0.21</v>
      </c>
      <c r="Q71" s="188" t="s">
        <v>248</v>
      </c>
      <c r="R71" s="350">
        <f>P71</f>
        <v>0.21</v>
      </c>
      <c r="S71" s="188"/>
      <c r="T71" s="188"/>
      <c r="U71" s="188"/>
    </row>
    <row r="72" spans="1:21">
      <c r="A72" s="370" t="s">
        <v>5</v>
      </c>
      <c r="B72" s="405" t="s">
        <v>921</v>
      </c>
      <c r="C72" s="372"/>
      <c r="D72" s="353"/>
      <c r="E72" s="353"/>
      <c r="F72" s="353"/>
      <c r="G72" s="353"/>
      <c r="H72" s="353"/>
      <c r="I72" s="353"/>
      <c r="J72" s="353"/>
      <c r="K72" s="353"/>
      <c r="L72" s="353"/>
      <c r="M72" s="353"/>
      <c r="N72" s="188"/>
      <c r="O72" s="188"/>
      <c r="P72" s="188"/>
      <c r="Q72" s="188"/>
      <c r="R72" s="188"/>
      <c r="S72" s="188"/>
      <c r="T72" s="188"/>
      <c r="U72" s="188"/>
    </row>
    <row r="73" spans="1:21">
      <c r="A73" s="346" t="s">
        <v>7</v>
      </c>
      <c r="B73" s="188" t="s">
        <v>786</v>
      </c>
      <c r="C73" s="345"/>
      <c r="D73" s="188"/>
      <c r="E73" s="188"/>
      <c r="F73" s="188"/>
      <c r="G73" s="188"/>
      <c r="H73" s="188"/>
      <c r="I73" s="188"/>
      <c r="J73" s="188"/>
      <c r="K73" s="188"/>
      <c r="L73" s="188"/>
      <c r="M73" s="188"/>
      <c r="N73" s="188"/>
      <c r="O73" s="188"/>
      <c r="P73" s="188"/>
      <c r="Q73" s="188"/>
      <c r="R73" s="188"/>
      <c r="S73" s="188"/>
      <c r="T73" s="188"/>
      <c r="U73" s="188"/>
    </row>
    <row r="74" spans="1:21">
      <c r="A74" s="424" t="s">
        <v>9</v>
      </c>
      <c r="B74" s="188" t="s">
        <v>923</v>
      </c>
      <c r="C74" s="345"/>
      <c r="D74" s="188"/>
      <c r="E74" s="188"/>
      <c r="F74" s="188"/>
      <c r="G74" s="188"/>
      <c r="H74" s="188"/>
      <c r="I74" s="188"/>
      <c r="J74" s="188"/>
      <c r="K74" s="188"/>
      <c r="L74" s="188"/>
      <c r="M74" s="188"/>
      <c r="N74" s="188"/>
      <c r="O74" s="188"/>
      <c r="P74" s="188"/>
      <c r="Q74" s="188"/>
      <c r="R74" s="188"/>
      <c r="S74" s="188"/>
      <c r="T74" s="188"/>
      <c r="U74" s="188"/>
    </row>
    <row r="75" spans="1:21" ht="15" customHeight="1">
      <c r="A75" s="346" t="s">
        <v>11</v>
      </c>
      <c r="B75" s="347" t="s">
        <v>796</v>
      </c>
      <c r="C75" s="188"/>
      <c r="D75" s="188"/>
      <c r="E75" s="188"/>
      <c r="F75" s="188"/>
      <c r="G75" s="188"/>
      <c r="H75" s="188"/>
      <c r="I75" s="188"/>
      <c r="J75" s="188"/>
      <c r="K75" s="188"/>
      <c r="L75" s="188"/>
      <c r="M75" s="188"/>
      <c r="N75" s="188"/>
      <c r="O75" s="188"/>
      <c r="P75" s="188"/>
      <c r="Q75" s="188"/>
      <c r="R75" s="188"/>
      <c r="S75" s="188"/>
      <c r="T75" s="188"/>
      <c r="U75" s="188"/>
    </row>
    <row r="76" spans="1:21">
      <c r="A76" s="346"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46" t="s">
        <v>15</v>
      </c>
      <c r="B77" s="188">
        <v>0.03</v>
      </c>
      <c r="C77" s="188"/>
      <c r="D77" s="188"/>
      <c r="E77" s="188"/>
      <c r="F77" s="188"/>
      <c r="G77" s="188"/>
      <c r="H77" s="188"/>
      <c r="I77" s="188"/>
      <c r="J77" s="188"/>
      <c r="K77" s="188"/>
      <c r="L77" s="188"/>
      <c r="M77" s="188"/>
      <c r="N77" s="188"/>
      <c r="O77" s="188"/>
      <c r="P77" s="188"/>
      <c r="Q77" s="188"/>
      <c r="R77" s="188"/>
      <c r="S77" s="188"/>
      <c r="T77" s="188"/>
      <c r="U77" s="188"/>
    </row>
    <row r="78" spans="1:21">
      <c r="A78" s="346"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46"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43"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43" t="s">
        <v>20</v>
      </c>
      <c r="B81" s="344" t="s">
        <v>21</v>
      </c>
      <c r="C81" s="344" t="s">
        <v>18</v>
      </c>
      <c r="D81" s="344" t="s">
        <v>22</v>
      </c>
      <c r="E81" s="344" t="s">
        <v>7</v>
      </c>
      <c r="F81" s="344" t="s">
        <v>13</v>
      </c>
      <c r="G81" s="344" t="s">
        <v>16</v>
      </c>
      <c r="H81" s="344" t="s">
        <v>23</v>
      </c>
      <c r="I81" s="344" t="s">
        <v>24</v>
      </c>
      <c r="J81" s="344" t="s">
        <v>25</v>
      </c>
      <c r="K81" s="344" t="s">
        <v>26</v>
      </c>
      <c r="L81" s="344" t="s">
        <v>27</v>
      </c>
      <c r="M81" s="344" t="s">
        <v>28</v>
      </c>
      <c r="N81" s="344" t="s">
        <v>11</v>
      </c>
      <c r="O81" s="188"/>
      <c r="P81" s="188"/>
      <c r="Q81" s="188"/>
      <c r="R81" s="188"/>
      <c r="S81" s="188"/>
      <c r="T81" s="188"/>
      <c r="U81" s="188"/>
    </row>
    <row r="82" spans="1:21">
      <c r="A82" s="37" t="s">
        <v>921</v>
      </c>
      <c r="B82" s="358">
        <v>0.03</v>
      </c>
      <c r="C82" s="188" t="s">
        <v>37</v>
      </c>
      <c r="D82" s="408" t="s">
        <v>2</v>
      </c>
      <c r="E82" s="188" t="s">
        <v>29</v>
      </c>
      <c r="F82" s="37" t="s">
        <v>14</v>
      </c>
      <c r="G82" s="188" t="s">
        <v>30</v>
      </c>
      <c r="H82" s="188">
        <v>1</v>
      </c>
      <c r="I82" s="188">
        <f t="shared" ref="I82:I84" si="6">B82</f>
        <v>0.03</v>
      </c>
      <c r="J82" s="188" t="s">
        <v>31</v>
      </c>
      <c r="K82" s="188" t="s">
        <v>31</v>
      </c>
      <c r="L82" s="188" t="s">
        <v>31</v>
      </c>
      <c r="M82" s="188" t="s">
        <v>31</v>
      </c>
      <c r="N82" s="188"/>
      <c r="O82" s="383"/>
      <c r="P82" s="394"/>
      <c r="Q82" s="188" t="s">
        <v>241</v>
      </c>
      <c r="R82" s="392">
        <v>0.01</v>
      </c>
      <c r="S82" s="188"/>
      <c r="T82" s="188"/>
      <c r="U82" s="188"/>
    </row>
    <row r="83" spans="1:21">
      <c r="A83" s="37" t="s">
        <v>653</v>
      </c>
      <c r="B83" s="192">
        <v>0.03</v>
      </c>
      <c r="C83" s="188" t="s">
        <v>37</v>
      </c>
      <c r="D83" s="188" t="s">
        <v>40</v>
      </c>
      <c r="E83" s="188" t="s">
        <v>29</v>
      </c>
      <c r="F83" s="37" t="s">
        <v>59</v>
      </c>
      <c r="G83" s="188" t="s">
        <v>33</v>
      </c>
      <c r="H83" s="188">
        <v>1</v>
      </c>
      <c r="I83" s="188">
        <f t="shared" si="6"/>
        <v>0.03</v>
      </c>
      <c r="J83" s="188" t="s">
        <v>31</v>
      </c>
      <c r="K83" s="188" t="s">
        <v>31</v>
      </c>
      <c r="L83" s="188" t="s">
        <v>31</v>
      </c>
      <c r="M83" s="188" t="s">
        <v>31</v>
      </c>
      <c r="N83" s="188"/>
      <c r="O83" s="383"/>
      <c r="P83" s="440"/>
      <c r="Q83" s="188"/>
      <c r="R83" s="350"/>
      <c r="S83" s="188"/>
      <c r="T83" s="188"/>
      <c r="U83" s="188"/>
    </row>
    <row r="84" spans="1:21">
      <c r="A84" s="37" t="s">
        <v>707</v>
      </c>
      <c r="B84" s="188">
        <v>0.03</v>
      </c>
      <c r="C84" s="188" t="s">
        <v>37</v>
      </c>
      <c r="D84" s="188" t="s">
        <v>40</v>
      </c>
      <c r="E84" s="188" t="s">
        <v>29</v>
      </c>
      <c r="F84" s="188" t="s">
        <v>59</v>
      </c>
      <c r="G84" s="188" t="s">
        <v>33</v>
      </c>
      <c r="H84" s="188">
        <v>1</v>
      </c>
      <c r="I84" s="188">
        <f t="shared" si="6"/>
        <v>0.03</v>
      </c>
      <c r="J84" s="188" t="s">
        <v>31</v>
      </c>
      <c r="K84" s="188" t="s">
        <v>31</v>
      </c>
      <c r="L84" s="188" t="s">
        <v>31</v>
      </c>
      <c r="M84" s="188" t="s">
        <v>31</v>
      </c>
      <c r="N84" s="188"/>
      <c r="O84" s="188"/>
      <c r="P84" s="188"/>
      <c r="Q84" s="188"/>
      <c r="R84" s="188"/>
      <c r="S84" s="188"/>
      <c r="T84" s="188"/>
      <c r="U84" s="188"/>
    </row>
    <row r="85" spans="1:21" s="70" customFormat="1">
      <c r="A85" s="370" t="s">
        <v>5</v>
      </c>
      <c r="B85" s="405" t="s">
        <v>922</v>
      </c>
      <c r="C85" s="372"/>
      <c r="D85" s="353"/>
      <c r="E85" s="353"/>
      <c r="F85" s="353"/>
      <c r="G85" s="353"/>
      <c r="H85" s="353"/>
      <c r="I85" s="353"/>
      <c r="J85" s="353"/>
      <c r="K85" s="353"/>
      <c r="L85" s="353"/>
      <c r="M85" s="353"/>
      <c r="N85" s="353"/>
      <c r="O85" s="353"/>
      <c r="P85" s="353"/>
      <c r="Q85" s="353"/>
      <c r="R85" s="353"/>
      <c r="S85" s="353"/>
      <c r="T85" s="353"/>
      <c r="U85" s="353"/>
    </row>
    <row r="86" spans="1:21">
      <c r="A86" s="346" t="s">
        <v>7</v>
      </c>
      <c r="B86" s="188" t="s">
        <v>786</v>
      </c>
      <c r="C86" s="345"/>
      <c r="D86" s="188"/>
      <c r="E86" s="188"/>
      <c r="F86" s="188"/>
      <c r="G86" s="188"/>
      <c r="H86" s="188"/>
      <c r="I86" s="188"/>
      <c r="J86" s="188"/>
      <c r="K86" s="188"/>
      <c r="L86" s="188"/>
      <c r="M86" s="188"/>
      <c r="N86" s="188"/>
      <c r="O86" s="188"/>
      <c r="P86" s="188"/>
      <c r="Q86" s="188"/>
      <c r="R86" s="188"/>
      <c r="S86" s="188"/>
      <c r="T86" s="188"/>
      <c r="U86" s="188"/>
    </row>
    <row r="87" spans="1:21">
      <c r="A87" s="424" t="s">
        <v>9</v>
      </c>
      <c r="B87" s="188" t="s">
        <v>924</v>
      </c>
      <c r="C87" s="345"/>
      <c r="D87" s="188"/>
      <c r="E87" s="188"/>
      <c r="F87" s="188"/>
      <c r="G87" s="188"/>
      <c r="H87" s="188"/>
      <c r="I87" s="188"/>
      <c r="J87" s="188"/>
      <c r="K87" s="188"/>
      <c r="L87" s="188"/>
      <c r="M87" s="188"/>
      <c r="N87" s="188"/>
      <c r="O87" s="188"/>
      <c r="P87" s="188"/>
      <c r="Q87" s="188"/>
      <c r="R87" s="188"/>
      <c r="S87" s="188"/>
      <c r="T87" s="188"/>
      <c r="U87" s="188"/>
    </row>
    <row r="88" spans="1:21" ht="15.75" customHeight="1">
      <c r="A88" s="346" t="s">
        <v>11</v>
      </c>
      <c r="B88" s="347" t="s">
        <v>796</v>
      </c>
      <c r="C88" s="188"/>
      <c r="D88" s="188"/>
      <c r="E88" s="188"/>
      <c r="F88" s="188"/>
      <c r="G88" s="188"/>
      <c r="H88" s="188"/>
      <c r="I88" s="188"/>
      <c r="J88" s="188"/>
      <c r="K88" s="188"/>
      <c r="L88" s="188"/>
      <c r="M88" s="188"/>
      <c r="N88" s="188"/>
      <c r="O88" s="188"/>
      <c r="P88" s="188"/>
      <c r="Q88" s="188"/>
      <c r="R88" s="188"/>
      <c r="S88" s="188"/>
      <c r="T88" s="188"/>
      <c r="U88" s="188"/>
    </row>
    <row r="89" spans="1:21">
      <c r="A89" s="346"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46"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46"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46"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43"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43" t="s">
        <v>20</v>
      </c>
      <c r="B94" s="344" t="s">
        <v>21</v>
      </c>
      <c r="C94" s="344" t="s">
        <v>18</v>
      </c>
      <c r="D94" s="344" t="s">
        <v>22</v>
      </c>
      <c r="E94" s="344" t="s">
        <v>7</v>
      </c>
      <c r="F94" s="344" t="s">
        <v>13</v>
      </c>
      <c r="G94" s="344" t="s">
        <v>16</v>
      </c>
      <c r="H94" s="344" t="s">
        <v>23</v>
      </c>
      <c r="I94" s="344" t="s">
        <v>24</v>
      </c>
      <c r="J94" s="344" t="s">
        <v>25</v>
      </c>
      <c r="K94" s="344" t="s">
        <v>26</v>
      </c>
      <c r="L94" s="344" t="s">
        <v>27</v>
      </c>
      <c r="M94" s="344" t="s">
        <v>28</v>
      </c>
      <c r="N94" s="344" t="s">
        <v>11</v>
      </c>
      <c r="O94" s="188"/>
      <c r="P94" s="188"/>
      <c r="Q94" s="188"/>
      <c r="R94" s="188"/>
      <c r="S94" s="188"/>
      <c r="T94" s="188"/>
      <c r="U94" s="188"/>
    </row>
    <row r="95" spans="1:21">
      <c r="A95" s="37" t="s">
        <v>922</v>
      </c>
      <c r="B95" s="350">
        <v>1</v>
      </c>
      <c r="C95" s="188" t="s">
        <v>18</v>
      </c>
      <c r="D95" s="408" t="s">
        <v>2</v>
      </c>
      <c r="E95" s="188" t="s">
        <v>29</v>
      </c>
      <c r="F95" s="37" t="s">
        <v>14</v>
      </c>
      <c r="G95" s="188" t="s">
        <v>30</v>
      </c>
      <c r="H95" s="188">
        <v>1</v>
      </c>
      <c r="I95" s="188">
        <f t="shared" ref="I95:I96" si="7">B95</f>
        <v>1</v>
      </c>
      <c r="J95" s="188" t="s">
        <v>31</v>
      </c>
      <c r="K95" s="188" t="s">
        <v>31</v>
      </c>
      <c r="L95" s="188" t="s">
        <v>31</v>
      </c>
      <c r="M95" s="188" t="s">
        <v>31</v>
      </c>
      <c r="N95" s="188"/>
      <c r="O95" s="383"/>
      <c r="P95" s="440"/>
      <c r="Q95" s="188"/>
      <c r="R95" s="350"/>
      <c r="S95" s="188"/>
      <c r="T95" s="188"/>
      <c r="U95" s="188"/>
    </row>
    <row r="96" spans="1:21">
      <c r="A96" s="37" t="s">
        <v>925</v>
      </c>
      <c r="B96" s="188">
        <v>1</v>
      </c>
      <c r="C96" s="188" t="s">
        <v>18</v>
      </c>
      <c r="D96" s="408" t="s">
        <v>2</v>
      </c>
      <c r="E96" s="188" t="s">
        <v>29</v>
      </c>
      <c r="F96" s="37" t="s">
        <v>14</v>
      </c>
      <c r="G96" s="188" t="s">
        <v>33</v>
      </c>
      <c r="H96" s="188">
        <v>1</v>
      </c>
      <c r="I96" s="188">
        <f t="shared" si="7"/>
        <v>1</v>
      </c>
      <c r="J96" s="188" t="s">
        <v>31</v>
      </c>
      <c r="K96" s="188" t="s">
        <v>31</v>
      </c>
      <c r="L96" s="188" t="s">
        <v>31</v>
      </c>
      <c r="M96" s="188" t="s">
        <v>31</v>
      </c>
      <c r="N96" s="188"/>
      <c r="O96" s="383"/>
      <c r="P96" s="440"/>
      <c r="Q96" s="188"/>
      <c r="R96" s="188"/>
      <c r="S96" s="188"/>
      <c r="T96" s="188"/>
      <c r="U96" s="188"/>
    </row>
    <row r="97" spans="1:21">
      <c r="A97" s="346" t="s">
        <v>269</v>
      </c>
      <c r="B97" s="350">
        <f>R97</f>
        <v>0.05</v>
      </c>
      <c r="C97" s="188" t="s">
        <v>39</v>
      </c>
      <c r="D97" s="188" t="s">
        <v>40</v>
      </c>
      <c r="E97" s="188" t="s">
        <v>29</v>
      </c>
      <c r="F97" s="37" t="s">
        <v>35</v>
      </c>
      <c r="G97" s="188" t="s">
        <v>33</v>
      </c>
      <c r="H97" s="188">
        <v>2</v>
      </c>
      <c r="I97" s="188">
        <f t="shared" ref="I97" si="8">LN(B97)</f>
        <v>-2.9957322735539909</v>
      </c>
      <c r="J97" s="188">
        <v>7.2284161474004766E-2</v>
      </c>
      <c r="K97" s="188" t="s">
        <v>31</v>
      </c>
      <c r="L97" s="188" t="s">
        <v>31</v>
      </c>
      <c r="M97" s="188" t="s">
        <v>31</v>
      </c>
      <c r="N97" s="188"/>
      <c r="O97" s="383" t="s">
        <v>248</v>
      </c>
      <c r="P97" s="440">
        <v>0.05</v>
      </c>
      <c r="Q97" s="188" t="s">
        <v>248</v>
      </c>
      <c r="R97" s="350">
        <f>P97</f>
        <v>0.05</v>
      </c>
      <c r="S97" s="188"/>
      <c r="T97" s="188"/>
      <c r="U97" s="188"/>
    </row>
    <row r="98" spans="1:21" s="70" customFormat="1">
      <c r="A98" s="370" t="s">
        <v>5</v>
      </c>
      <c r="B98" s="405" t="s">
        <v>925</v>
      </c>
      <c r="C98" s="372"/>
      <c r="D98" s="353"/>
      <c r="E98" s="353"/>
      <c r="F98" s="353"/>
      <c r="G98" s="353"/>
      <c r="H98" s="353"/>
      <c r="I98" s="353"/>
      <c r="J98" s="353"/>
      <c r="K98" s="353"/>
      <c r="L98" s="353"/>
      <c r="M98" s="353"/>
      <c r="N98" s="353"/>
      <c r="O98" s="353"/>
      <c r="P98" s="353"/>
      <c r="Q98" s="353"/>
      <c r="R98" s="353"/>
      <c r="S98" s="353"/>
      <c r="T98" s="353"/>
      <c r="U98" s="353"/>
    </row>
    <row r="99" spans="1:21">
      <c r="A99" s="346" t="s">
        <v>7</v>
      </c>
      <c r="B99" s="188" t="s">
        <v>786</v>
      </c>
      <c r="C99" s="345"/>
      <c r="D99" s="188"/>
      <c r="E99" s="188"/>
      <c r="F99" s="188"/>
      <c r="G99" s="188"/>
      <c r="H99" s="188"/>
      <c r="I99" s="188"/>
      <c r="J99" s="188"/>
      <c r="K99" s="188"/>
      <c r="L99" s="188"/>
      <c r="M99" s="188"/>
      <c r="N99" s="188"/>
      <c r="O99" s="188"/>
      <c r="P99" s="188"/>
      <c r="Q99" s="188"/>
      <c r="R99" s="188"/>
      <c r="S99" s="188"/>
      <c r="T99" s="188"/>
      <c r="U99" s="188"/>
    </row>
    <row r="100" spans="1:21">
      <c r="A100" s="424" t="s">
        <v>9</v>
      </c>
      <c r="B100" s="188" t="s">
        <v>926</v>
      </c>
      <c r="C100" s="345"/>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46" t="s">
        <v>11</v>
      </c>
      <c r="B101" s="347" t="s">
        <v>796</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46"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46"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46"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46"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43"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43" t="s">
        <v>20</v>
      </c>
      <c r="B107" s="344" t="s">
        <v>21</v>
      </c>
      <c r="C107" s="344" t="s">
        <v>18</v>
      </c>
      <c r="D107" s="344" t="s">
        <v>22</v>
      </c>
      <c r="E107" s="344" t="s">
        <v>7</v>
      </c>
      <c r="F107" s="344" t="s">
        <v>13</v>
      </c>
      <c r="G107" s="344" t="s">
        <v>16</v>
      </c>
      <c r="H107" s="344" t="s">
        <v>23</v>
      </c>
      <c r="I107" s="344" t="s">
        <v>24</v>
      </c>
      <c r="J107" s="344" t="s">
        <v>25</v>
      </c>
      <c r="K107" s="344" t="s">
        <v>26</v>
      </c>
      <c r="L107" s="344" t="s">
        <v>27</v>
      </c>
      <c r="M107" s="344" t="s">
        <v>28</v>
      </c>
      <c r="N107" s="344" t="s">
        <v>11</v>
      </c>
      <c r="O107" s="188"/>
      <c r="P107" s="188"/>
      <c r="Q107" s="188"/>
      <c r="R107" s="188"/>
      <c r="S107" s="188"/>
      <c r="T107" s="188"/>
      <c r="U107" s="188"/>
    </row>
    <row r="108" spans="1:21">
      <c r="A108" s="37" t="s">
        <v>925</v>
      </c>
      <c r="B108" s="188">
        <v>1</v>
      </c>
      <c r="C108" s="188" t="s">
        <v>18</v>
      </c>
      <c r="D108" s="408" t="s">
        <v>2</v>
      </c>
      <c r="E108" s="188" t="s">
        <v>29</v>
      </c>
      <c r="F108" s="37" t="s">
        <v>14</v>
      </c>
      <c r="G108" s="188" t="s">
        <v>30</v>
      </c>
      <c r="H108" s="188">
        <v>1</v>
      </c>
      <c r="I108" s="188">
        <f t="shared" ref="I108:I111" si="9">B108</f>
        <v>1</v>
      </c>
      <c r="J108" s="188" t="s">
        <v>31</v>
      </c>
      <c r="K108" s="188" t="s">
        <v>31</v>
      </c>
      <c r="L108" s="188" t="s">
        <v>31</v>
      </c>
      <c r="M108" s="188" t="s">
        <v>31</v>
      </c>
      <c r="N108" s="188"/>
      <c r="O108" s="188"/>
      <c r="P108" s="188"/>
      <c r="Q108" s="188"/>
      <c r="R108" s="188"/>
      <c r="S108" s="188"/>
      <c r="T108" s="188"/>
      <c r="U108" s="188"/>
    </row>
    <row r="109" spans="1:21">
      <c r="A109" s="346" t="s">
        <v>927</v>
      </c>
      <c r="B109" s="441">
        <f>B133</f>
        <v>0.02</v>
      </c>
      <c r="C109" s="188" t="s">
        <v>609</v>
      </c>
      <c r="D109" s="408" t="s">
        <v>2</v>
      </c>
      <c r="E109" s="188" t="s">
        <v>29</v>
      </c>
      <c r="F109" s="37" t="s">
        <v>14</v>
      </c>
      <c r="G109" s="188" t="s">
        <v>33</v>
      </c>
      <c r="H109" s="188">
        <v>1</v>
      </c>
      <c r="I109" s="188">
        <f t="shared" si="9"/>
        <v>0.02</v>
      </c>
      <c r="J109" s="188" t="s">
        <v>31</v>
      </c>
      <c r="K109" s="188" t="s">
        <v>31</v>
      </c>
      <c r="L109" s="188" t="s">
        <v>31</v>
      </c>
      <c r="M109" s="188" t="s">
        <v>31</v>
      </c>
      <c r="N109" s="188"/>
      <c r="O109" s="409"/>
      <c r="P109" s="410"/>
      <c r="Q109" s="350"/>
      <c r="R109" s="188"/>
      <c r="S109" s="188"/>
      <c r="T109" s="188"/>
      <c r="U109" s="188"/>
    </row>
    <row r="110" spans="1:21">
      <c r="A110" s="188" t="s">
        <v>837</v>
      </c>
      <c r="B110" s="392">
        <f>U110</f>
        <v>1.2000000000000001E-3</v>
      </c>
      <c r="C110" s="381" t="s">
        <v>609</v>
      </c>
      <c r="D110" s="408" t="s">
        <v>2</v>
      </c>
      <c r="E110" s="188" t="s">
        <v>29</v>
      </c>
      <c r="F110" s="37" t="s">
        <v>14</v>
      </c>
      <c r="G110" s="188" t="s">
        <v>33</v>
      </c>
      <c r="H110" s="188">
        <v>1</v>
      </c>
      <c r="I110" s="188">
        <f t="shared" si="9"/>
        <v>1.2000000000000001E-3</v>
      </c>
      <c r="J110" s="188" t="s">
        <v>31</v>
      </c>
      <c r="K110" s="188" t="s">
        <v>31</v>
      </c>
      <c r="L110" s="188" t="s">
        <v>31</v>
      </c>
      <c r="M110" s="188" t="s">
        <v>31</v>
      </c>
      <c r="N110" s="188"/>
      <c r="O110" s="442" t="s">
        <v>580</v>
      </c>
      <c r="P110" s="443">
        <v>6</v>
      </c>
      <c r="Q110" s="444" t="s">
        <v>928</v>
      </c>
      <c r="R110" s="444">
        <f>'2A. Reusable'!O37</f>
        <v>0.2</v>
      </c>
      <c r="S110" s="444" t="s">
        <v>838</v>
      </c>
      <c r="T110" s="442" t="s">
        <v>610</v>
      </c>
      <c r="U110" s="443">
        <f>(P110*0.001)*R110</f>
        <v>1.2000000000000001E-3</v>
      </c>
    </row>
    <row r="111" spans="1:21">
      <c r="A111" s="188" t="s">
        <v>929</v>
      </c>
      <c r="B111" s="188">
        <v>1</v>
      </c>
      <c r="C111" s="188" t="s">
        <v>18</v>
      </c>
      <c r="D111" s="408" t="s">
        <v>2</v>
      </c>
      <c r="E111" s="188" t="s">
        <v>29</v>
      </c>
      <c r="F111" s="37" t="s">
        <v>14</v>
      </c>
      <c r="G111" s="188" t="s">
        <v>33</v>
      </c>
      <c r="H111" s="188">
        <v>1</v>
      </c>
      <c r="I111" s="188">
        <f t="shared" si="9"/>
        <v>1</v>
      </c>
      <c r="J111" s="188" t="s">
        <v>31</v>
      </c>
      <c r="K111" s="188" t="s">
        <v>31</v>
      </c>
      <c r="L111" s="188" t="s">
        <v>31</v>
      </c>
      <c r="M111" s="188" t="s">
        <v>31</v>
      </c>
      <c r="N111" s="188"/>
      <c r="O111" s="409"/>
      <c r="P111" s="410"/>
      <c r="Q111" s="188"/>
      <c r="R111" s="188"/>
      <c r="S111" s="188"/>
      <c r="T111" s="188"/>
      <c r="U111" s="188"/>
    </row>
    <row r="112" spans="1:21">
      <c r="A112" s="37" t="s">
        <v>179</v>
      </c>
      <c r="B112" s="392">
        <f>R112</f>
        <v>8.7000000000000001E-5</v>
      </c>
      <c r="C112" s="188" t="s">
        <v>37</v>
      </c>
      <c r="D112" s="188" t="s">
        <v>40</v>
      </c>
      <c r="E112" s="188" t="s">
        <v>29</v>
      </c>
      <c r="F112" s="37" t="s">
        <v>35</v>
      </c>
      <c r="G112" s="188" t="s">
        <v>33</v>
      </c>
      <c r="H112" s="188">
        <v>2</v>
      </c>
      <c r="I112" s="188">
        <f>LN(B112)</f>
        <v>-9.3496024393096899</v>
      </c>
      <c r="J112" s="188">
        <v>2.8722813232690055E-2</v>
      </c>
      <c r="K112" s="188" t="s">
        <v>31</v>
      </c>
      <c r="L112" s="188" t="s">
        <v>31</v>
      </c>
      <c r="M112" s="188" t="s">
        <v>31</v>
      </c>
      <c r="N112" s="188"/>
      <c r="O112" s="442" t="s">
        <v>580</v>
      </c>
      <c r="P112" s="151">
        <v>8.6999999999999994E-2</v>
      </c>
      <c r="Q112" s="188" t="s">
        <v>241</v>
      </c>
      <c r="R112" s="392">
        <f>P112*10^-3</f>
        <v>8.7000000000000001E-5</v>
      </c>
      <c r="S112" s="188"/>
      <c r="T112" s="188"/>
      <c r="U112" s="188"/>
    </row>
    <row r="113" spans="1:21" s="70" customFormat="1">
      <c r="A113" s="370" t="s">
        <v>5</v>
      </c>
      <c r="B113" s="371" t="s">
        <v>929</v>
      </c>
      <c r="C113" s="372"/>
      <c r="D113" s="353"/>
      <c r="E113" s="353"/>
      <c r="F113" s="353"/>
      <c r="G113" s="353"/>
      <c r="H113" s="353"/>
      <c r="I113" s="353"/>
      <c r="J113" s="353"/>
      <c r="K113" s="353"/>
      <c r="L113" s="353"/>
      <c r="M113" s="353"/>
      <c r="N113" s="353"/>
      <c r="O113" s="353"/>
      <c r="P113" s="353"/>
      <c r="Q113" s="353"/>
      <c r="R113" s="353"/>
      <c r="S113" s="353"/>
      <c r="T113" s="353"/>
      <c r="U113" s="353"/>
    </row>
    <row r="114" spans="1:21">
      <c r="A114" s="346" t="s">
        <v>7</v>
      </c>
      <c r="B114" s="188" t="s">
        <v>786</v>
      </c>
      <c r="C114" s="345"/>
      <c r="D114" s="188"/>
      <c r="E114" s="188"/>
      <c r="F114" s="188"/>
      <c r="G114" s="188"/>
      <c r="H114" s="188"/>
      <c r="I114" s="188"/>
      <c r="J114" s="188"/>
      <c r="K114" s="188"/>
      <c r="L114" s="188"/>
      <c r="M114" s="188"/>
      <c r="N114" s="188"/>
      <c r="O114" s="188"/>
      <c r="P114" s="188"/>
      <c r="Q114" s="188"/>
      <c r="R114" s="188"/>
      <c r="S114" s="188"/>
      <c r="T114" s="188"/>
      <c r="U114" s="188"/>
    </row>
    <row r="115" spans="1:21">
      <c r="A115" s="424" t="s">
        <v>9</v>
      </c>
      <c r="B115" s="188" t="s">
        <v>930</v>
      </c>
      <c r="C115" s="345"/>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46" t="s">
        <v>11</v>
      </c>
      <c r="B116" s="347" t="s">
        <v>796</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46"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46"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46"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46"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43"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43" t="s">
        <v>20</v>
      </c>
      <c r="B122" s="344" t="s">
        <v>21</v>
      </c>
      <c r="C122" s="344" t="s">
        <v>18</v>
      </c>
      <c r="D122" s="344" t="s">
        <v>22</v>
      </c>
      <c r="E122" s="344" t="s">
        <v>7</v>
      </c>
      <c r="F122" s="344" t="s">
        <v>13</v>
      </c>
      <c r="G122" s="344" t="s">
        <v>16</v>
      </c>
      <c r="H122" s="344" t="s">
        <v>23</v>
      </c>
      <c r="I122" s="344" t="s">
        <v>24</v>
      </c>
      <c r="J122" s="344" t="s">
        <v>25</v>
      </c>
      <c r="K122" s="344" t="s">
        <v>26</v>
      </c>
      <c r="L122" s="344" t="s">
        <v>27</v>
      </c>
      <c r="M122" s="344" t="s">
        <v>28</v>
      </c>
      <c r="N122" s="344" t="s">
        <v>11</v>
      </c>
      <c r="O122" s="188"/>
      <c r="P122" s="188"/>
      <c r="Q122" s="188"/>
      <c r="R122" s="188"/>
      <c r="S122" s="188"/>
      <c r="T122" s="188"/>
      <c r="U122" s="188"/>
    </row>
    <row r="123" spans="1:21">
      <c r="A123" s="188" t="s">
        <v>929</v>
      </c>
      <c r="B123" s="188">
        <v>1</v>
      </c>
      <c r="C123" s="188" t="s">
        <v>18</v>
      </c>
      <c r="D123" s="408" t="s">
        <v>2</v>
      </c>
      <c r="E123" s="188" t="s">
        <v>29</v>
      </c>
      <c r="F123" s="37" t="s">
        <v>14</v>
      </c>
      <c r="G123" s="188" t="s">
        <v>30</v>
      </c>
      <c r="H123" s="188">
        <v>1</v>
      </c>
      <c r="I123" s="188">
        <f t="shared" ref="I123:I124" si="10">B123</f>
        <v>1</v>
      </c>
      <c r="J123" s="188" t="s">
        <v>31</v>
      </c>
      <c r="K123" s="188" t="s">
        <v>31</v>
      </c>
      <c r="L123" s="188" t="s">
        <v>31</v>
      </c>
      <c r="M123" s="188" t="s">
        <v>31</v>
      </c>
      <c r="N123" s="188"/>
      <c r="O123" s="188"/>
      <c r="P123" s="188"/>
      <c r="Q123" s="188"/>
      <c r="R123" s="188"/>
      <c r="S123" s="188"/>
      <c r="T123" s="188"/>
      <c r="U123" s="188"/>
    </row>
    <row r="124" spans="1:21">
      <c r="A124" s="37" t="s">
        <v>614</v>
      </c>
      <c r="B124" s="188">
        <v>0.17</v>
      </c>
      <c r="C124" s="188" t="s">
        <v>37</v>
      </c>
      <c r="D124" s="188" t="s">
        <v>40</v>
      </c>
      <c r="E124" s="188" t="s">
        <v>29</v>
      </c>
      <c r="F124" s="188" t="s">
        <v>59</v>
      </c>
      <c r="G124" s="188" t="s">
        <v>33</v>
      </c>
      <c r="H124" s="188">
        <v>1</v>
      </c>
      <c r="I124" s="188">
        <f t="shared" si="10"/>
        <v>0.17</v>
      </c>
      <c r="J124" s="188" t="s">
        <v>31</v>
      </c>
      <c r="K124" s="188" t="s">
        <v>31</v>
      </c>
      <c r="L124" s="188" t="s">
        <v>31</v>
      </c>
      <c r="M124" s="188" t="s">
        <v>31</v>
      </c>
      <c r="N124" s="188"/>
      <c r="O124" s="188"/>
      <c r="P124" s="188"/>
      <c r="Q124" s="188"/>
      <c r="R124" s="188"/>
      <c r="S124" s="188"/>
      <c r="T124" s="188"/>
      <c r="U124" s="188"/>
    </row>
    <row r="125" spans="1:21">
      <c r="A125" s="37" t="s">
        <v>913</v>
      </c>
      <c r="B125" s="188">
        <f>R125</f>
        <v>0.112</v>
      </c>
      <c r="C125" s="188" t="s">
        <v>37</v>
      </c>
      <c r="D125" s="188" t="s">
        <v>40</v>
      </c>
      <c r="E125" s="188" t="s">
        <v>29</v>
      </c>
      <c r="F125" s="188" t="s">
        <v>59</v>
      </c>
      <c r="G125" s="188" t="s">
        <v>33</v>
      </c>
      <c r="H125" s="188">
        <v>2</v>
      </c>
      <c r="I125" s="188">
        <f>LN(B125)</f>
        <v>-2.1892564076870427</v>
      </c>
      <c r="J125" s="188">
        <v>3.7749172176353707E-2</v>
      </c>
      <c r="K125" s="188" t="s">
        <v>31</v>
      </c>
      <c r="L125" s="188" t="s">
        <v>31</v>
      </c>
      <c r="M125" s="188" t="s">
        <v>31</v>
      </c>
      <c r="N125" s="188"/>
      <c r="O125" s="401" t="s">
        <v>580</v>
      </c>
      <c r="P125" s="138">
        <v>112</v>
      </c>
      <c r="Q125" s="188" t="s">
        <v>241</v>
      </c>
      <c r="R125" s="188">
        <f>P125*0.001</f>
        <v>0.112</v>
      </c>
      <c r="S125" s="188"/>
      <c r="T125" s="188"/>
      <c r="U125" s="188"/>
    </row>
    <row r="126" spans="1:21">
      <c r="A126" s="37" t="s">
        <v>914</v>
      </c>
      <c r="B126" s="188">
        <f>R126</f>
        <v>6.7000000000000002E-3</v>
      </c>
      <c r="C126" s="188" t="s">
        <v>37</v>
      </c>
      <c r="D126" s="188" t="s">
        <v>40</v>
      </c>
      <c r="E126" s="188" t="s">
        <v>29</v>
      </c>
      <c r="F126" s="188" t="s">
        <v>59</v>
      </c>
      <c r="G126" s="188" t="s">
        <v>33</v>
      </c>
      <c r="H126" s="188">
        <v>2</v>
      </c>
      <c r="I126" s="188">
        <f>LN(B126)</f>
        <v>-5.005647752585217</v>
      </c>
      <c r="J126" s="188">
        <v>3.7749172176353707E-2</v>
      </c>
      <c r="K126" s="188" t="s">
        <v>31</v>
      </c>
      <c r="L126" s="188" t="s">
        <v>31</v>
      </c>
      <c r="M126" s="188" t="s">
        <v>31</v>
      </c>
      <c r="N126" s="188"/>
      <c r="O126" s="401" t="s">
        <v>580</v>
      </c>
      <c r="P126" s="138">
        <v>6.7</v>
      </c>
      <c r="Q126" s="188" t="s">
        <v>241</v>
      </c>
      <c r="R126" s="188">
        <f t="shared" ref="R126:R127" si="11">P126*0.001</f>
        <v>6.7000000000000002E-3</v>
      </c>
      <c r="S126" s="188"/>
      <c r="T126" s="188"/>
      <c r="U126" s="188"/>
    </row>
    <row r="127" spans="1:21">
      <c r="A127" s="37" t="s">
        <v>915</v>
      </c>
      <c r="B127" s="188">
        <f>R127</f>
        <v>5.1000000000000004E-2</v>
      </c>
      <c r="C127" s="188" t="s">
        <v>37</v>
      </c>
      <c r="D127" s="188" t="s">
        <v>40</v>
      </c>
      <c r="E127" s="188" t="s">
        <v>29</v>
      </c>
      <c r="F127" s="188" t="s">
        <v>59</v>
      </c>
      <c r="G127" s="188" t="s">
        <v>33</v>
      </c>
      <c r="H127" s="188">
        <v>2</v>
      </c>
      <c r="I127" s="188">
        <f>LN(B127)</f>
        <v>-2.9759296462578111</v>
      </c>
      <c r="J127" s="188">
        <v>3.7749172176353707E-2</v>
      </c>
      <c r="K127" s="188" t="s">
        <v>31</v>
      </c>
      <c r="L127" s="188" t="s">
        <v>31</v>
      </c>
      <c r="M127" s="188" t="s">
        <v>31</v>
      </c>
      <c r="N127" s="188"/>
      <c r="O127" s="401" t="s">
        <v>580</v>
      </c>
      <c r="P127" s="138">
        <v>51</v>
      </c>
      <c r="Q127" s="188" t="s">
        <v>241</v>
      </c>
      <c r="R127" s="188">
        <f t="shared" si="11"/>
        <v>5.1000000000000004E-2</v>
      </c>
      <c r="S127" s="188"/>
      <c r="T127" s="188"/>
      <c r="U127" s="188"/>
    </row>
    <row r="128" spans="1:21" s="70" customFormat="1">
      <c r="A128" s="370" t="s">
        <v>5</v>
      </c>
      <c r="B128" s="405" t="s">
        <v>927</v>
      </c>
      <c r="C128" s="372"/>
      <c r="D128" s="353"/>
      <c r="E128" s="353"/>
      <c r="F128" s="353"/>
      <c r="G128" s="353"/>
      <c r="H128" s="353"/>
      <c r="I128" s="353"/>
      <c r="J128" s="353"/>
      <c r="K128" s="353"/>
      <c r="L128" s="353"/>
      <c r="M128" s="353"/>
      <c r="N128" s="353"/>
      <c r="O128" s="353"/>
      <c r="P128" s="353"/>
      <c r="Q128" s="353"/>
      <c r="R128" s="353"/>
      <c r="S128" s="353"/>
      <c r="T128" s="353"/>
      <c r="U128" s="353"/>
    </row>
    <row r="129" spans="1:21">
      <c r="A129" s="346" t="s">
        <v>7</v>
      </c>
      <c r="B129" s="188" t="s">
        <v>786</v>
      </c>
      <c r="C129" s="345"/>
      <c r="D129" s="188"/>
      <c r="E129" s="188"/>
      <c r="F129" s="188"/>
      <c r="G129" s="188"/>
      <c r="H129" s="188"/>
      <c r="I129" s="188"/>
      <c r="J129" s="188"/>
      <c r="K129" s="188"/>
      <c r="L129" s="188"/>
      <c r="M129" s="188"/>
      <c r="N129" s="188"/>
      <c r="O129" s="188"/>
      <c r="P129" s="188"/>
      <c r="Q129" s="188"/>
      <c r="R129" s="188"/>
      <c r="S129" s="188"/>
      <c r="T129" s="188"/>
      <c r="U129" s="188"/>
    </row>
    <row r="130" spans="1:21">
      <c r="A130" s="424" t="s">
        <v>9</v>
      </c>
      <c r="B130" s="188" t="s">
        <v>931</v>
      </c>
      <c r="C130" s="345"/>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46" t="s">
        <v>11</v>
      </c>
      <c r="B131" s="347" t="s">
        <v>796</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46"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46" t="s">
        <v>15</v>
      </c>
      <c r="B133" s="425">
        <f>B138</f>
        <v>0.02</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46"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46" t="s">
        <v>18</v>
      </c>
      <c r="B135" s="188" t="s">
        <v>609</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43"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44" t="s">
        <v>20</v>
      </c>
      <c r="B137" s="344" t="s">
        <v>21</v>
      </c>
      <c r="C137" s="344" t="s">
        <v>18</v>
      </c>
      <c r="D137" s="344" t="s">
        <v>22</v>
      </c>
      <c r="E137" s="344" t="s">
        <v>7</v>
      </c>
      <c r="F137" s="344" t="s">
        <v>13</v>
      </c>
      <c r="G137" s="344" t="s">
        <v>16</v>
      </c>
      <c r="H137" s="344" t="s">
        <v>23</v>
      </c>
      <c r="I137" s="344" t="s">
        <v>24</v>
      </c>
      <c r="J137" s="344" t="s">
        <v>25</v>
      </c>
      <c r="K137" s="344" t="s">
        <v>26</v>
      </c>
      <c r="L137" s="344" t="s">
        <v>27</v>
      </c>
      <c r="M137" s="344" t="s">
        <v>28</v>
      </c>
      <c r="N137" s="344" t="s">
        <v>11</v>
      </c>
      <c r="O137" s="188"/>
      <c r="P137" s="188"/>
      <c r="Q137" s="188"/>
      <c r="R137" s="188"/>
      <c r="S137" s="188"/>
      <c r="T137" s="188"/>
      <c r="U137" s="188"/>
    </row>
    <row r="138" spans="1:21">
      <c r="A138" s="188" t="s">
        <v>927</v>
      </c>
      <c r="B138" s="445">
        <v>0.02</v>
      </c>
      <c r="C138" s="188" t="s">
        <v>609</v>
      </c>
      <c r="D138" s="408" t="s">
        <v>2</v>
      </c>
      <c r="E138" s="188" t="s">
        <v>29</v>
      </c>
      <c r="F138" s="37" t="s">
        <v>14</v>
      </c>
      <c r="G138" s="188" t="s">
        <v>30</v>
      </c>
      <c r="H138" s="188">
        <v>1</v>
      </c>
      <c r="I138" s="188">
        <f t="shared" ref="I138:I139" si="12">B138</f>
        <v>0.02</v>
      </c>
      <c r="J138" s="188" t="s">
        <v>31</v>
      </c>
      <c r="K138" s="188" t="s">
        <v>31</v>
      </c>
      <c r="L138" s="188" t="s">
        <v>31</v>
      </c>
      <c r="M138" s="188" t="s">
        <v>31</v>
      </c>
      <c r="N138" s="188"/>
      <c r="O138" s="409"/>
      <c r="P138" s="410"/>
      <c r="Q138" s="350"/>
      <c r="R138" s="188"/>
      <c r="S138" s="188"/>
      <c r="T138" s="188"/>
      <c r="U138" s="188"/>
    </row>
    <row r="139" spans="1:21">
      <c r="A139" s="192" t="s">
        <v>932</v>
      </c>
      <c r="B139" s="445">
        <v>0.02</v>
      </c>
      <c r="C139" s="188" t="s">
        <v>609</v>
      </c>
      <c r="D139" s="408" t="s">
        <v>2</v>
      </c>
      <c r="E139" s="188" t="s">
        <v>29</v>
      </c>
      <c r="F139" s="37" t="s">
        <v>14</v>
      </c>
      <c r="G139" s="188" t="s">
        <v>33</v>
      </c>
      <c r="H139" s="188">
        <v>1</v>
      </c>
      <c r="I139" s="188">
        <f t="shared" si="12"/>
        <v>0.02</v>
      </c>
      <c r="J139" s="188" t="s">
        <v>31</v>
      </c>
      <c r="K139" s="188" t="s">
        <v>31</v>
      </c>
      <c r="L139" s="188" t="s">
        <v>31</v>
      </c>
      <c r="M139" s="188" t="s">
        <v>31</v>
      </c>
      <c r="N139" s="188"/>
      <c r="O139" s="188"/>
      <c r="P139" s="188"/>
      <c r="Q139" s="188"/>
      <c r="R139" s="188"/>
      <c r="S139" s="188"/>
      <c r="T139" s="188"/>
      <c r="U139" s="188"/>
    </row>
    <row r="140" spans="1:21">
      <c r="A140" s="37" t="s">
        <v>680</v>
      </c>
      <c r="B140" s="188">
        <f>R140</f>
        <v>1.8000000000000002E-3</v>
      </c>
      <c r="C140" s="188" t="s">
        <v>37</v>
      </c>
      <c r="D140" s="188" t="s">
        <v>40</v>
      </c>
      <c r="E140" s="188" t="s">
        <v>29</v>
      </c>
      <c r="F140" s="188" t="s">
        <v>35</v>
      </c>
      <c r="G140" s="188" t="s">
        <v>33</v>
      </c>
      <c r="H140" s="188">
        <v>2</v>
      </c>
      <c r="I140" s="188">
        <f>LN(B140)</f>
        <v>-6.3199686140800182</v>
      </c>
      <c r="J140" s="188">
        <v>0.20928449536456342</v>
      </c>
      <c r="K140" s="188" t="s">
        <v>31</v>
      </c>
      <c r="L140" s="188" t="s">
        <v>31</v>
      </c>
      <c r="M140" s="188" t="s">
        <v>31</v>
      </c>
      <c r="N140" s="188"/>
      <c r="O140" s="401" t="s">
        <v>580</v>
      </c>
      <c r="P140" s="414">
        <v>1.8</v>
      </c>
      <c r="Q140" s="188" t="s">
        <v>241</v>
      </c>
      <c r="R140" s="188">
        <f>0.001*P140</f>
        <v>1.8000000000000002E-3</v>
      </c>
      <c r="S140" s="188"/>
      <c r="T140" s="188"/>
      <c r="U140" s="188"/>
    </row>
    <row r="141" spans="1:21">
      <c r="A141" s="37" t="s">
        <v>545</v>
      </c>
      <c r="B141" s="188">
        <f>R141</f>
        <v>1.8000000000000002E-3</v>
      </c>
      <c r="C141" s="188" t="s">
        <v>37</v>
      </c>
      <c r="D141" s="188" t="s">
        <v>40</v>
      </c>
      <c r="E141" s="188" t="s">
        <v>29</v>
      </c>
      <c r="F141" s="188" t="s">
        <v>35</v>
      </c>
      <c r="G141" s="188" t="s">
        <v>33</v>
      </c>
      <c r="H141" s="188">
        <v>2</v>
      </c>
      <c r="I141" s="188">
        <f>LN(B141)</f>
        <v>-6.3199686140800182</v>
      </c>
      <c r="J141" s="188">
        <v>0.20928449536456342</v>
      </c>
      <c r="K141" s="188" t="s">
        <v>31</v>
      </c>
      <c r="L141" s="188" t="s">
        <v>31</v>
      </c>
      <c r="M141" s="188" t="s">
        <v>31</v>
      </c>
      <c r="N141" s="188"/>
      <c r="O141" s="401" t="s">
        <v>580</v>
      </c>
      <c r="P141" s="414">
        <v>1.8</v>
      </c>
      <c r="Q141" s="188" t="s">
        <v>241</v>
      </c>
      <c r="R141" s="188">
        <f>0.001*P141</f>
        <v>1.8000000000000002E-3</v>
      </c>
      <c r="S141" s="188"/>
      <c r="T141" s="188"/>
      <c r="U141" s="188"/>
    </row>
    <row r="142" spans="1:21" s="70" customFormat="1">
      <c r="A142" s="370" t="s">
        <v>5</v>
      </c>
      <c r="B142" s="446" t="s">
        <v>932</v>
      </c>
      <c r="C142" s="372"/>
      <c r="D142" s="353"/>
      <c r="E142" s="353"/>
      <c r="F142" s="353"/>
      <c r="G142" s="353"/>
      <c r="H142" s="353"/>
      <c r="I142" s="353"/>
      <c r="J142" s="353"/>
      <c r="K142" s="353"/>
      <c r="L142" s="353"/>
      <c r="M142" s="353"/>
      <c r="N142" s="353"/>
      <c r="O142" s="353"/>
      <c r="P142" s="353"/>
      <c r="Q142" s="353"/>
      <c r="R142" s="353"/>
      <c r="S142" s="353"/>
      <c r="T142" s="353"/>
      <c r="U142" s="353"/>
    </row>
    <row r="143" spans="1:21">
      <c r="A143" s="346" t="s">
        <v>7</v>
      </c>
      <c r="B143" s="188" t="s">
        <v>786</v>
      </c>
      <c r="C143" s="345"/>
      <c r="D143" s="188"/>
      <c r="E143" s="188"/>
      <c r="F143" s="188"/>
      <c r="G143" s="188"/>
      <c r="H143" s="188"/>
      <c r="I143" s="188"/>
      <c r="J143" s="188"/>
      <c r="K143" s="188"/>
      <c r="L143" s="188"/>
      <c r="M143" s="188"/>
      <c r="N143" s="188"/>
      <c r="O143" s="188"/>
      <c r="P143" s="188"/>
      <c r="Q143" s="188"/>
      <c r="R143" s="188"/>
      <c r="S143" s="188"/>
      <c r="T143" s="188"/>
      <c r="U143" s="188"/>
    </row>
    <row r="144" spans="1:21">
      <c r="A144" s="424" t="s">
        <v>9</v>
      </c>
      <c r="B144" s="188" t="s">
        <v>933</v>
      </c>
      <c r="C144" s="345"/>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46" t="s">
        <v>11</v>
      </c>
      <c r="B145" s="347" t="s">
        <v>796</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46"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46" t="s">
        <v>15</v>
      </c>
      <c r="B147" s="445">
        <f>B154</f>
        <v>0.02</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46"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46" t="s">
        <v>18</v>
      </c>
      <c r="B149" s="188" t="s">
        <v>609</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43"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44" t="s">
        <v>20</v>
      </c>
      <c r="B151" s="344" t="s">
        <v>21</v>
      </c>
      <c r="C151" s="344" t="s">
        <v>18</v>
      </c>
      <c r="D151" s="344" t="s">
        <v>22</v>
      </c>
      <c r="E151" s="344" t="s">
        <v>7</v>
      </c>
      <c r="F151" s="344" t="s">
        <v>13</v>
      </c>
      <c r="G151" s="344" t="s">
        <v>16</v>
      </c>
      <c r="H151" s="344" t="s">
        <v>23</v>
      </c>
      <c r="I151" s="344" t="s">
        <v>24</v>
      </c>
      <c r="J151" s="344" t="s">
        <v>25</v>
      </c>
      <c r="K151" s="344" t="s">
        <v>26</v>
      </c>
      <c r="L151" s="344" t="s">
        <v>27</v>
      </c>
      <c r="M151" s="344" t="s">
        <v>28</v>
      </c>
      <c r="N151" s="344" t="s">
        <v>11</v>
      </c>
      <c r="O151" s="188"/>
      <c r="P151" s="188"/>
      <c r="Q151" s="188"/>
      <c r="R151" s="188"/>
      <c r="S151" s="188"/>
      <c r="T151" s="188"/>
      <c r="U151" s="188"/>
    </row>
    <row r="152" spans="1:21">
      <c r="A152" s="192" t="s">
        <v>932</v>
      </c>
      <c r="B152" s="445">
        <f>B154</f>
        <v>0.02</v>
      </c>
      <c r="C152" s="188" t="s">
        <v>609</v>
      </c>
      <c r="D152" s="408" t="s">
        <v>2</v>
      </c>
      <c r="E152" s="188" t="s">
        <v>29</v>
      </c>
      <c r="F152" s="37" t="s">
        <v>14</v>
      </c>
      <c r="G152" s="188" t="s">
        <v>30</v>
      </c>
      <c r="H152" s="188">
        <v>1</v>
      </c>
      <c r="I152" s="188">
        <f t="shared" ref="I152:I154" si="13">B152</f>
        <v>0.02</v>
      </c>
      <c r="J152" s="188" t="s">
        <v>31</v>
      </c>
      <c r="K152" s="188" t="s">
        <v>31</v>
      </c>
      <c r="L152" s="188" t="s">
        <v>31</v>
      </c>
      <c r="M152" s="188" t="s">
        <v>31</v>
      </c>
      <c r="N152" s="188"/>
      <c r="O152" s="188"/>
      <c r="P152" s="188"/>
      <c r="Q152" s="188"/>
      <c r="R152" s="188"/>
      <c r="S152" s="188"/>
      <c r="T152" s="188"/>
      <c r="U152" s="188"/>
    </row>
    <row r="153" spans="1:21">
      <c r="A153" s="188" t="s">
        <v>934</v>
      </c>
      <c r="B153" s="415">
        <f>B233</f>
        <v>6.0000000000000001E-3</v>
      </c>
      <c r="C153" s="188" t="s">
        <v>609</v>
      </c>
      <c r="D153" s="408" t="s">
        <v>2</v>
      </c>
      <c r="E153" s="188" t="s">
        <v>29</v>
      </c>
      <c r="F153" s="37" t="s">
        <v>14</v>
      </c>
      <c r="G153" s="188" t="s">
        <v>33</v>
      </c>
      <c r="H153" s="188">
        <v>1</v>
      </c>
      <c r="I153" s="188">
        <f t="shared" si="13"/>
        <v>6.0000000000000001E-3</v>
      </c>
      <c r="J153" s="188" t="s">
        <v>31</v>
      </c>
      <c r="K153" s="188" t="s">
        <v>31</v>
      </c>
      <c r="L153" s="188" t="s">
        <v>31</v>
      </c>
      <c r="M153" s="188" t="s">
        <v>31</v>
      </c>
      <c r="N153" s="188"/>
      <c r="O153" s="188"/>
      <c r="P153" s="188"/>
      <c r="Q153" s="188"/>
      <c r="R153" s="188"/>
      <c r="S153" s="188"/>
      <c r="T153" s="188"/>
      <c r="U153" s="188"/>
    </row>
    <row r="154" spans="1:21">
      <c r="A154" s="188" t="s">
        <v>935</v>
      </c>
      <c r="B154" s="415">
        <f>B162</f>
        <v>0.02</v>
      </c>
      <c r="C154" s="188" t="s">
        <v>609</v>
      </c>
      <c r="D154" s="408" t="s">
        <v>2</v>
      </c>
      <c r="E154" s="188" t="s">
        <v>29</v>
      </c>
      <c r="F154" s="37" t="s">
        <v>14</v>
      </c>
      <c r="G154" s="188" t="s">
        <v>33</v>
      </c>
      <c r="H154" s="188">
        <v>1</v>
      </c>
      <c r="I154" s="188">
        <f t="shared" si="13"/>
        <v>0.02</v>
      </c>
      <c r="J154" s="188" t="s">
        <v>31</v>
      </c>
      <c r="K154" s="188" t="s">
        <v>31</v>
      </c>
      <c r="L154" s="188" t="s">
        <v>31</v>
      </c>
      <c r="M154" s="188" t="s">
        <v>31</v>
      </c>
      <c r="N154" s="188"/>
      <c r="O154" s="188"/>
      <c r="P154" s="188"/>
      <c r="Q154" s="188"/>
      <c r="R154" s="188"/>
      <c r="S154" s="188"/>
      <c r="T154" s="188"/>
      <c r="U154" s="188"/>
    </row>
    <row r="155" spans="1:21">
      <c r="A155" s="346" t="s">
        <v>269</v>
      </c>
      <c r="B155" s="350">
        <f>R155</f>
        <v>0.47</v>
      </c>
      <c r="C155" s="188" t="s">
        <v>39</v>
      </c>
      <c r="D155" s="188" t="s">
        <v>40</v>
      </c>
      <c r="E155" s="188" t="s">
        <v>29</v>
      </c>
      <c r="F155" s="37" t="s">
        <v>35</v>
      </c>
      <c r="G155" s="188" t="s">
        <v>33</v>
      </c>
      <c r="H155" s="188">
        <v>2</v>
      </c>
      <c r="I155" s="188">
        <f t="shared" ref="I155:I156" si="14">LN(B155)</f>
        <v>-0.75502258427803282</v>
      </c>
      <c r="J155" s="188">
        <v>9.7082439194738052E-2</v>
      </c>
      <c r="K155" s="188" t="s">
        <v>31</v>
      </c>
      <c r="L155" s="188" t="s">
        <v>31</v>
      </c>
      <c r="M155" s="188" t="s">
        <v>31</v>
      </c>
      <c r="N155" s="188"/>
      <c r="O155" s="383" t="s">
        <v>248</v>
      </c>
      <c r="P155" s="440">
        <v>0.47</v>
      </c>
      <c r="Q155" s="188" t="s">
        <v>248</v>
      </c>
      <c r="R155" s="350">
        <f>P155</f>
        <v>0.47</v>
      </c>
      <c r="S155" s="188"/>
      <c r="T155" s="188"/>
      <c r="U155" s="188"/>
    </row>
    <row r="156" spans="1:21">
      <c r="A156" s="346" t="s">
        <v>202</v>
      </c>
      <c r="B156" s="188">
        <v>1.2</v>
      </c>
      <c r="C156" s="188" t="s">
        <v>37</v>
      </c>
      <c r="D156" s="188" t="s">
        <v>40</v>
      </c>
      <c r="E156" s="188" t="s">
        <v>29</v>
      </c>
      <c r="F156" s="37" t="s">
        <v>35</v>
      </c>
      <c r="G156" s="188" t="s">
        <v>33</v>
      </c>
      <c r="H156" s="188">
        <v>2</v>
      </c>
      <c r="I156" s="188">
        <f t="shared" si="14"/>
        <v>0.18232155679395459</v>
      </c>
      <c r="J156" s="188">
        <v>9.7082439194738052E-2</v>
      </c>
      <c r="K156" s="188" t="s">
        <v>31</v>
      </c>
      <c r="L156" s="188" t="s">
        <v>31</v>
      </c>
      <c r="M156" s="188" t="s">
        <v>31</v>
      </c>
      <c r="N156" s="188"/>
      <c r="O156" s="188"/>
      <c r="P156" s="188"/>
      <c r="Q156" s="188"/>
      <c r="R156" s="188"/>
      <c r="S156" s="188"/>
      <c r="T156" s="188"/>
      <c r="U156" s="188"/>
    </row>
    <row r="157" spans="1:21" s="70" customFormat="1">
      <c r="A157" s="370" t="s">
        <v>5</v>
      </c>
      <c r="B157" s="371" t="s">
        <v>935</v>
      </c>
      <c r="C157" s="372"/>
      <c r="D157" s="353"/>
      <c r="E157" s="353"/>
      <c r="F157" s="353"/>
      <c r="G157" s="353"/>
      <c r="H157" s="353"/>
      <c r="I157" s="353"/>
      <c r="J157" s="353"/>
      <c r="K157" s="353"/>
      <c r="L157" s="353"/>
      <c r="M157" s="353"/>
      <c r="N157" s="353"/>
      <c r="O157" s="353"/>
      <c r="P157" s="353"/>
      <c r="Q157" s="353"/>
      <c r="R157" s="353"/>
      <c r="S157" s="353"/>
      <c r="T157" s="353"/>
      <c r="U157" s="353"/>
    </row>
    <row r="158" spans="1:21">
      <c r="A158" s="346" t="s">
        <v>7</v>
      </c>
      <c r="B158" s="188" t="s">
        <v>786</v>
      </c>
      <c r="C158" s="345"/>
      <c r="D158" s="188"/>
      <c r="E158" s="188"/>
      <c r="F158" s="188"/>
      <c r="G158" s="188"/>
      <c r="H158" s="188"/>
      <c r="I158" s="188"/>
      <c r="J158" s="188"/>
      <c r="K158" s="188"/>
      <c r="L158" s="188"/>
      <c r="M158" s="188"/>
      <c r="N158" s="188"/>
      <c r="O158" s="188"/>
      <c r="P158" s="188"/>
      <c r="Q158" s="188"/>
      <c r="R158" s="188"/>
      <c r="S158" s="188"/>
      <c r="T158" s="188"/>
      <c r="U158" s="188"/>
    </row>
    <row r="159" spans="1:21">
      <c r="A159" s="424" t="s">
        <v>9</v>
      </c>
      <c r="B159" s="188" t="s">
        <v>936</v>
      </c>
      <c r="C159" s="345"/>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46" t="s">
        <v>11</v>
      </c>
      <c r="B160" s="347" t="s">
        <v>796</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46"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46" t="s">
        <v>15</v>
      </c>
      <c r="B162" s="425">
        <f>B168</f>
        <v>0.02</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46"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46" t="s">
        <v>18</v>
      </c>
      <c r="B164" s="188" t="s">
        <v>609</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43"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44" t="s">
        <v>20</v>
      </c>
      <c r="B166" s="344" t="s">
        <v>21</v>
      </c>
      <c r="C166" s="344" t="s">
        <v>18</v>
      </c>
      <c r="D166" s="344" t="s">
        <v>22</v>
      </c>
      <c r="E166" s="344" t="s">
        <v>7</v>
      </c>
      <c r="F166" s="344" t="s">
        <v>13</v>
      </c>
      <c r="G166" s="344" t="s">
        <v>16</v>
      </c>
      <c r="H166" s="344" t="s">
        <v>23</v>
      </c>
      <c r="I166" s="344" t="s">
        <v>24</v>
      </c>
      <c r="J166" s="344" t="s">
        <v>25</v>
      </c>
      <c r="K166" s="344" t="s">
        <v>26</v>
      </c>
      <c r="L166" s="344" t="s">
        <v>27</v>
      </c>
      <c r="M166" s="344" t="s">
        <v>28</v>
      </c>
      <c r="N166" s="344" t="s">
        <v>11</v>
      </c>
      <c r="O166" s="188"/>
      <c r="P166" s="188"/>
      <c r="Q166" s="188"/>
      <c r="R166" s="188"/>
      <c r="S166" s="188"/>
      <c r="T166" s="188"/>
      <c r="U166" s="188"/>
    </row>
    <row r="167" spans="1:21">
      <c r="A167" s="188" t="s">
        <v>935</v>
      </c>
      <c r="B167" s="415">
        <f>B168</f>
        <v>0.02</v>
      </c>
      <c r="C167" s="188" t="s">
        <v>609</v>
      </c>
      <c r="D167" s="408" t="s">
        <v>2</v>
      </c>
      <c r="E167" s="188" t="s">
        <v>29</v>
      </c>
      <c r="F167" s="37" t="s">
        <v>14</v>
      </c>
      <c r="G167" s="188" t="s">
        <v>30</v>
      </c>
      <c r="H167" s="188">
        <v>1</v>
      </c>
      <c r="I167" s="188">
        <f t="shared" ref="I167:I168" si="15">B167</f>
        <v>0.02</v>
      </c>
      <c r="J167" s="188" t="s">
        <v>31</v>
      </c>
      <c r="K167" s="188" t="s">
        <v>31</v>
      </c>
      <c r="L167" s="188" t="s">
        <v>31</v>
      </c>
      <c r="M167" s="188" t="s">
        <v>31</v>
      </c>
      <c r="N167" s="188"/>
      <c r="O167" s="188"/>
      <c r="P167" s="188"/>
      <c r="Q167" s="188"/>
      <c r="R167" s="188"/>
      <c r="S167" s="188"/>
      <c r="T167" s="188"/>
      <c r="U167" s="188"/>
    </row>
    <row r="168" spans="1:21">
      <c r="A168" s="192" t="s">
        <v>937</v>
      </c>
      <c r="B168" s="415">
        <f>B185</f>
        <v>0.02</v>
      </c>
      <c r="C168" s="188" t="s">
        <v>609</v>
      </c>
      <c r="D168" s="408" t="s">
        <v>2</v>
      </c>
      <c r="E168" s="188" t="s">
        <v>29</v>
      </c>
      <c r="F168" s="37" t="s">
        <v>14</v>
      </c>
      <c r="G168" s="188" t="s">
        <v>33</v>
      </c>
      <c r="H168" s="188">
        <v>1</v>
      </c>
      <c r="I168" s="188">
        <f t="shared" si="15"/>
        <v>0.02</v>
      </c>
      <c r="J168" s="188" t="s">
        <v>31</v>
      </c>
      <c r="K168" s="188" t="s">
        <v>31</v>
      </c>
      <c r="L168" s="188" t="s">
        <v>31</v>
      </c>
      <c r="M168" s="188" t="s">
        <v>31</v>
      </c>
      <c r="N168" s="188"/>
      <c r="O168" s="188"/>
      <c r="P168" s="188"/>
      <c r="Q168" s="188"/>
      <c r="R168" s="188"/>
      <c r="S168" s="188"/>
      <c r="T168" s="188"/>
      <c r="U168" s="188"/>
    </row>
    <row r="169" spans="1:21">
      <c r="A169" s="346" t="s">
        <v>269</v>
      </c>
      <c r="B169" s="350">
        <f>R169</f>
        <v>0.05</v>
      </c>
      <c r="C169" s="188" t="s">
        <v>39</v>
      </c>
      <c r="D169" s="188" t="s">
        <v>40</v>
      </c>
      <c r="E169" s="188" t="s">
        <v>29</v>
      </c>
      <c r="F169" s="37" t="s">
        <v>35</v>
      </c>
      <c r="G169" s="188" t="s">
        <v>33</v>
      </c>
      <c r="H169" s="188">
        <v>2</v>
      </c>
      <c r="I169" s="188">
        <f t="shared" ref="I169:I173" si="16">LN(B169)</f>
        <v>-2.9957322735539909</v>
      </c>
      <c r="J169" s="188">
        <v>0.20928449536456342</v>
      </c>
      <c r="K169" s="188" t="s">
        <v>31</v>
      </c>
      <c r="L169" s="188" t="s">
        <v>31</v>
      </c>
      <c r="M169" s="188" t="s">
        <v>31</v>
      </c>
      <c r="N169" s="188"/>
      <c r="O169" s="383" t="s">
        <v>248</v>
      </c>
      <c r="P169" s="138">
        <v>0.05</v>
      </c>
      <c r="Q169" s="188" t="s">
        <v>248</v>
      </c>
      <c r="R169" s="350">
        <f>P169</f>
        <v>0.05</v>
      </c>
      <c r="S169" s="188"/>
      <c r="T169" s="188"/>
      <c r="U169" s="188"/>
    </row>
    <row r="170" spans="1:21">
      <c r="A170" s="37" t="s">
        <v>798</v>
      </c>
      <c r="B170" s="188">
        <f>R170</f>
        <v>1.6999999999999999E-3</v>
      </c>
      <c r="C170" s="188" t="s">
        <v>37</v>
      </c>
      <c r="D170" s="188" t="s">
        <v>40</v>
      </c>
      <c r="E170" s="188" t="s">
        <v>29</v>
      </c>
      <c r="F170" s="37" t="s">
        <v>35</v>
      </c>
      <c r="G170" s="188" t="s">
        <v>33</v>
      </c>
      <c r="H170" s="188">
        <v>2</v>
      </c>
      <c r="I170" s="188">
        <f t="shared" si="16"/>
        <v>-6.3771270279199666</v>
      </c>
      <c r="J170" s="188">
        <v>0.20928449536456342</v>
      </c>
      <c r="K170" s="188" t="s">
        <v>31</v>
      </c>
      <c r="L170" s="188" t="s">
        <v>31</v>
      </c>
      <c r="M170" s="188" t="s">
        <v>31</v>
      </c>
      <c r="N170" s="188"/>
      <c r="O170" s="401" t="s">
        <v>580</v>
      </c>
      <c r="P170" s="138">
        <v>1.7</v>
      </c>
      <c r="Q170" s="188" t="s">
        <v>241</v>
      </c>
      <c r="R170" s="188">
        <f>0.001*P170</f>
        <v>1.6999999999999999E-3</v>
      </c>
      <c r="S170" s="188"/>
      <c r="T170" s="188"/>
      <c r="U170" s="188"/>
    </row>
    <row r="171" spans="1:21">
      <c r="A171" s="37" t="s">
        <v>308</v>
      </c>
      <c r="B171" s="188">
        <f>R171</f>
        <v>2.9999999999999997E-4</v>
      </c>
      <c r="C171" s="188" t="s">
        <v>37</v>
      </c>
      <c r="D171" s="188" t="s">
        <v>40</v>
      </c>
      <c r="E171" s="188" t="s">
        <v>29</v>
      </c>
      <c r="F171" s="37" t="s">
        <v>59</v>
      </c>
      <c r="G171" s="188" t="s">
        <v>33</v>
      </c>
      <c r="H171" s="188">
        <v>2</v>
      </c>
      <c r="I171" s="188">
        <f t="shared" si="16"/>
        <v>-8.1117280833080727</v>
      </c>
      <c r="J171" s="188">
        <v>0.20928449536456342</v>
      </c>
      <c r="K171" s="188" t="s">
        <v>31</v>
      </c>
      <c r="L171" s="188" t="s">
        <v>31</v>
      </c>
      <c r="M171" s="188" t="s">
        <v>31</v>
      </c>
      <c r="N171" s="188"/>
      <c r="O171" s="401" t="s">
        <v>580</v>
      </c>
      <c r="P171" s="138">
        <v>0.3</v>
      </c>
      <c r="Q171" s="188" t="s">
        <v>241</v>
      </c>
      <c r="R171" s="188">
        <f t="shared" ref="R171:R173" si="17">0.001*P171</f>
        <v>2.9999999999999997E-4</v>
      </c>
      <c r="S171" s="188"/>
      <c r="T171" s="188"/>
      <c r="U171" s="188"/>
    </row>
    <row r="172" spans="1:21">
      <c r="A172" s="346" t="s">
        <v>799</v>
      </c>
      <c r="B172" s="188">
        <f>R172</f>
        <v>8.0999999999999996E-3</v>
      </c>
      <c r="C172" s="188" t="s">
        <v>37</v>
      </c>
      <c r="D172" s="188" t="s">
        <v>40</v>
      </c>
      <c r="E172" s="188" t="s">
        <v>29</v>
      </c>
      <c r="F172" s="37" t="s">
        <v>74</v>
      </c>
      <c r="G172" s="188" t="s">
        <v>33</v>
      </c>
      <c r="H172" s="188">
        <v>2</v>
      </c>
      <c r="I172" s="188">
        <f t="shared" si="16"/>
        <v>-4.8158912173037436</v>
      </c>
      <c r="J172" s="188">
        <v>0.20928449536456342</v>
      </c>
      <c r="K172" s="188" t="s">
        <v>31</v>
      </c>
      <c r="L172" s="188" t="s">
        <v>31</v>
      </c>
      <c r="M172" s="188" t="s">
        <v>31</v>
      </c>
      <c r="N172" s="188"/>
      <c r="O172" s="401" t="s">
        <v>580</v>
      </c>
      <c r="P172" s="138">
        <v>8.1</v>
      </c>
      <c r="Q172" s="188" t="s">
        <v>241</v>
      </c>
      <c r="R172" s="188">
        <f t="shared" si="17"/>
        <v>8.0999999999999996E-3</v>
      </c>
      <c r="S172" s="188"/>
      <c r="T172" s="188"/>
      <c r="U172" s="188"/>
    </row>
    <row r="173" spans="1:21">
      <c r="A173" s="188" t="s">
        <v>784</v>
      </c>
      <c r="B173" s="188">
        <f>R173</f>
        <v>1.9E-3</v>
      </c>
      <c r="C173" s="188" t="s">
        <v>37</v>
      </c>
      <c r="D173" s="408" t="s">
        <v>2</v>
      </c>
      <c r="E173" s="188" t="s">
        <v>29</v>
      </c>
      <c r="F173" s="37" t="s">
        <v>74</v>
      </c>
      <c r="G173" s="188" t="s">
        <v>33</v>
      </c>
      <c r="H173" s="188">
        <v>2</v>
      </c>
      <c r="I173" s="188">
        <f t="shared" si="16"/>
        <v>-6.2659013928097425</v>
      </c>
      <c r="J173" s="188">
        <v>0.20928449536456342</v>
      </c>
      <c r="K173" s="188" t="s">
        <v>31</v>
      </c>
      <c r="L173" s="188" t="s">
        <v>31</v>
      </c>
      <c r="M173" s="188" t="s">
        <v>31</v>
      </c>
      <c r="N173" s="188"/>
      <c r="O173" s="447" t="s">
        <v>580</v>
      </c>
      <c r="P173" s="142">
        <v>1.9</v>
      </c>
      <c r="Q173" s="188" t="s">
        <v>241</v>
      </c>
      <c r="R173" s="188">
        <f t="shared" si="17"/>
        <v>1.9E-3</v>
      </c>
      <c r="S173" s="188"/>
      <c r="T173" s="188"/>
      <c r="U173" s="188"/>
    </row>
    <row r="174" spans="1:21" s="70" customFormat="1">
      <c r="A174" s="370" t="s">
        <v>5</v>
      </c>
      <c r="B174" s="371" t="s">
        <v>937</v>
      </c>
      <c r="C174" s="372"/>
      <c r="D174" s="353"/>
      <c r="E174" s="353"/>
      <c r="F174" s="353"/>
      <c r="G174" s="353"/>
      <c r="H174" s="353"/>
      <c r="I174" s="353"/>
      <c r="J174" s="353"/>
      <c r="K174" s="353"/>
      <c r="L174" s="353"/>
      <c r="M174" s="353"/>
      <c r="N174" s="353"/>
      <c r="O174" s="353"/>
      <c r="P174" s="353"/>
      <c r="Q174" s="353"/>
      <c r="R174" s="353"/>
      <c r="S174" s="353"/>
      <c r="T174" s="353"/>
      <c r="U174" s="353"/>
    </row>
    <row r="175" spans="1:21">
      <c r="A175" s="346" t="s">
        <v>7</v>
      </c>
      <c r="B175" s="188" t="s">
        <v>786</v>
      </c>
      <c r="C175" s="345"/>
      <c r="D175" s="188"/>
      <c r="E175" s="188"/>
      <c r="F175" s="188"/>
      <c r="G175" s="188"/>
      <c r="H175" s="188"/>
      <c r="I175" s="188"/>
      <c r="J175" s="188"/>
      <c r="K175" s="188"/>
      <c r="L175" s="188"/>
      <c r="M175" s="188"/>
      <c r="N175" s="188"/>
      <c r="O175" s="188"/>
      <c r="P175" s="188"/>
      <c r="Q175" s="188"/>
      <c r="R175" s="188"/>
      <c r="S175" s="188"/>
      <c r="T175" s="188"/>
      <c r="U175" s="188"/>
    </row>
    <row r="176" spans="1:21">
      <c r="A176" s="424" t="s">
        <v>9</v>
      </c>
      <c r="B176" s="188" t="s">
        <v>938</v>
      </c>
      <c r="C176" s="345"/>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46" t="s">
        <v>11</v>
      </c>
      <c r="B177" s="347" t="s">
        <v>796</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46"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46" t="s">
        <v>15</v>
      </c>
      <c r="B179" s="425">
        <f>B184</f>
        <v>0.02</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46"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46" t="s">
        <v>18</v>
      </c>
      <c r="B181" s="188" t="s">
        <v>609</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43"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44" t="s">
        <v>20</v>
      </c>
      <c r="B183" s="344" t="s">
        <v>21</v>
      </c>
      <c r="C183" s="344" t="s">
        <v>18</v>
      </c>
      <c r="D183" s="344" t="s">
        <v>22</v>
      </c>
      <c r="E183" s="344" t="s">
        <v>7</v>
      </c>
      <c r="F183" s="344" t="s">
        <v>13</v>
      </c>
      <c r="G183" s="344" t="s">
        <v>16</v>
      </c>
      <c r="H183" s="344" t="s">
        <v>23</v>
      </c>
      <c r="I183" s="344" t="s">
        <v>24</v>
      </c>
      <c r="J183" s="344" t="s">
        <v>25</v>
      </c>
      <c r="K183" s="344" t="s">
        <v>26</v>
      </c>
      <c r="L183" s="344" t="s">
        <v>27</v>
      </c>
      <c r="M183" s="344" t="s">
        <v>28</v>
      </c>
      <c r="N183" s="344" t="s">
        <v>11</v>
      </c>
      <c r="O183" s="188"/>
      <c r="P183" s="188"/>
      <c r="Q183" s="188"/>
      <c r="R183" s="188"/>
      <c r="S183" s="188"/>
      <c r="T183" s="188"/>
      <c r="U183" s="188"/>
    </row>
    <row r="184" spans="1:21">
      <c r="A184" s="192" t="s">
        <v>937</v>
      </c>
      <c r="B184" s="415">
        <v>0.02</v>
      </c>
      <c r="C184" s="188" t="s">
        <v>609</v>
      </c>
      <c r="D184" s="408" t="s">
        <v>2</v>
      </c>
      <c r="E184" s="188" t="s">
        <v>29</v>
      </c>
      <c r="F184" s="37" t="s">
        <v>14</v>
      </c>
      <c r="G184" s="188" t="s">
        <v>30</v>
      </c>
      <c r="H184" s="188">
        <v>1</v>
      </c>
      <c r="I184" s="415">
        <f>B184</f>
        <v>0.02</v>
      </c>
      <c r="J184" s="188" t="s">
        <v>31</v>
      </c>
      <c r="K184" s="188" t="s">
        <v>31</v>
      </c>
      <c r="L184" s="188" t="s">
        <v>31</v>
      </c>
      <c r="M184" s="188" t="s">
        <v>31</v>
      </c>
      <c r="N184" s="188"/>
      <c r="O184" s="188"/>
      <c r="P184" s="188"/>
      <c r="Q184" s="188"/>
      <c r="R184" s="188"/>
      <c r="S184" s="188"/>
      <c r="T184" s="188"/>
      <c r="U184" s="188"/>
    </row>
    <row r="185" spans="1:21">
      <c r="A185" s="188" t="s">
        <v>939</v>
      </c>
      <c r="B185" s="415">
        <v>0.02</v>
      </c>
      <c r="C185" s="188" t="s">
        <v>609</v>
      </c>
      <c r="D185" s="408" t="s">
        <v>2</v>
      </c>
      <c r="E185" s="188" t="s">
        <v>29</v>
      </c>
      <c r="F185" s="37" t="s">
        <v>14</v>
      </c>
      <c r="G185" s="188" t="s">
        <v>33</v>
      </c>
      <c r="H185" s="188">
        <v>1</v>
      </c>
      <c r="I185" s="415">
        <f>B185</f>
        <v>0.02</v>
      </c>
      <c r="J185" s="188" t="s">
        <v>31</v>
      </c>
      <c r="K185" s="188" t="s">
        <v>31</v>
      </c>
      <c r="L185" s="188" t="s">
        <v>31</v>
      </c>
      <c r="M185" s="188" t="s">
        <v>31</v>
      </c>
      <c r="N185" s="188"/>
      <c r="O185" s="188"/>
      <c r="P185" s="188"/>
      <c r="Q185" s="188"/>
      <c r="R185" s="188"/>
      <c r="S185" s="188"/>
      <c r="T185" s="188"/>
      <c r="U185" s="188"/>
    </row>
    <row r="186" spans="1:21">
      <c r="A186" s="346" t="s">
        <v>269</v>
      </c>
      <c r="B186" s="350">
        <f>P186</f>
        <v>1.1499999999999999</v>
      </c>
      <c r="C186" s="188" t="s">
        <v>39</v>
      </c>
      <c r="D186" s="188" t="s">
        <v>40</v>
      </c>
      <c r="E186" s="188" t="s">
        <v>29</v>
      </c>
      <c r="F186" s="37" t="s">
        <v>35</v>
      </c>
      <c r="G186" s="188" t="s">
        <v>33</v>
      </c>
      <c r="H186" s="188">
        <v>2</v>
      </c>
      <c r="I186" s="188">
        <f t="shared" ref="I186:I187" si="18">LN(B186)</f>
        <v>0.13976194237515863</v>
      </c>
      <c r="J186" s="188">
        <v>0.20928449536456342</v>
      </c>
      <c r="K186" s="188" t="s">
        <v>31</v>
      </c>
      <c r="L186" s="188" t="s">
        <v>31</v>
      </c>
      <c r="M186" s="188" t="s">
        <v>31</v>
      </c>
      <c r="N186" s="188"/>
      <c r="O186" s="401" t="s">
        <v>248</v>
      </c>
      <c r="P186" s="414">
        <f>0.36+0.79</f>
        <v>1.1499999999999999</v>
      </c>
      <c r="Q186" s="188"/>
      <c r="R186" s="188"/>
      <c r="S186" s="188"/>
      <c r="T186" s="188"/>
      <c r="U186" s="188"/>
    </row>
    <row r="187" spans="1:21">
      <c r="A187" s="346" t="s">
        <v>799</v>
      </c>
      <c r="B187" s="188">
        <f>R187</f>
        <v>2.3E-3</v>
      </c>
      <c r="C187" s="188" t="s">
        <v>37</v>
      </c>
      <c r="D187" s="188" t="s">
        <v>40</v>
      </c>
      <c r="E187" s="188" t="s">
        <v>29</v>
      </c>
      <c r="F187" s="37" t="s">
        <v>74</v>
      </c>
      <c r="G187" s="188" t="s">
        <v>33</v>
      </c>
      <c r="H187" s="188">
        <v>2</v>
      </c>
      <c r="I187" s="188">
        <f t="shared" si="18"/>
        <v>-6.074846156047033</v>
      </c>
      <c r="J187" s="188">
        <v>0.20928449536456342</v>
      </c>
      <c r="K187" s="188" t="s">
        <v>31</v>
      </c>
      <c r="L187" s="188" t="s">
        <v>31</v>
      </c>
      <c r="M187" s="188" t="s">
        <v>31</v>
      </c>
      <c r="N187" s="188"/>
      <c r="O187" s="401" t="s">
        <v>580</v>
      </c>
      <c r="P187" s="414">
        <v>2.2999999999999998</v>
      </c>
      <c r="Q187" s="188" t="s">
        <v>241</v>
      </c>
      <c r="R187" s="188">
        <f>P187*0.001</f>
        <v>2.3E-3</v>
      </c>
      <c r="S187" s="188"/>
      <c r="T187" s="188"/>
      <c r="U187" s="188"/>
    </row>
    <row r="188" spans="1:21">
      <c r="A188" s="37" t="s">
        <v>545</v>
      </c>
      <c r="B188" s="188">
        <f>R188</f>
        <v>2.8E-3</v>
      </c>
      <c r="C188" s="188" t="s">
        <v>37</v>
      </c>
      <c r="D188" s="188" t="s">
        <v>40</v>
      </c>
      <c r="E188" s="188" t="s">
        <v>29</v>
      </c>
      <c r="F188" s="188" t="s">
        <v>35</v>
      </c>
      <c r="G188" s="188" t="s">
        <v>33</v>
      </c>
      <c r="H188" s="188">
        <v>2</v>
      </c>
      <c r="I188" s="188">
        <f>LN(B188)</f>
        <v>-5.8781358618009785</v>
      </c>
      <c r="J188" s="188">
        <v>0.20928449536456342</v>
      </c>
      <c r="K188" s="188" t="s">
        <v>31</v>
      </c>
      <c r="L188" s="188" t="s">
        <v>31</v>
      </c>
      <c r="M188" s="188" t="s">
        <v>31</v>
      </c>
      <c r="N188" s="188"/>
      <c r="O188" s="401" t="s">
        <v>580</v>
      </c>
      <c r="P188" s="414">
        <v>2.8</v>
      </c>
      <c r="Q188" s="188" t="s">
        <v>241</v>
      </c>
      <c r="R188" s="188">
        <f>P188*0.001</f>
        <v>2.8E-3</v>
      </c>
      <c r="S188" s="188"/>
      <c r="T188" s="188"/>
      <c r="U188" s="188"/>
    </row>
    <row r="189" spans="1:21">
      <c r="A189" s="188" t="s">
        <v>784</v>
      </c>
      <c r="B189" s="188">
        <f>R189</f>
        <v>2.8E-3</v>
      </c>
      <c r="C189" s="188" t="s">
        <v>37</v>
      </c>
      <c r="D189" s="408" t="s">
        <v>2</v>
      </c>
      <c r="E189" s="188" t="s">
        <v>29</v>
      </c>
      <c r="F189" s="37" t="s">
        <v>74</v>
      </c>
      <c r="G189" s="188" t="s">
        <v>33</v>
      </c>
      <c r="H189" s="188">
        <v>2</v>
      </c>
      <c r="I189" s="188">
        <f t="shared" ref="I189" si="19">LN(B189)</f>
        <v>-5.8781358618009785</v>
      </c>
      <c r="J189" s="188">
        <v>0.20928449536456342</v>
      </c>
      <c r="K189" s="188" t="s">
        <v>31</v>
      </c>
      <c r="L189" s="188" t="s">
        <v>31</v>
      </c>
      <c r="M189" s="188" t="s">
        <v>31</v>
      </c>
      <c r="N189" s="188"/>
      <c r="O189" s="447" t="s">
        <v>580</v>
      </c>
      <c r="P189" s="448">
        <v>2.8</v>
      </c>
      <c r="Q189" s="188" t="s">
        <v>241</v>
      </c>
      <c r="R189" s="188">
        <f t="shared" ref="R189" si="20">0.001*P189</f>
        <v>2.8E-3</v>
      </c>
      <c r="S189" s="188"/>
      <c r="T189" s="188"/>
      <c r="U189" s="188"/>
    </row>
    <row r="190" spans="1:21" s="70" customFormat="1">
      <c r="A190" s="370" t="s">
        <v>5</v>
      </c>
      <c r="B190" s="371" t="s">
        <v>939</v>
      </c>
      <c r="C190" s="372"/>
      <c r="D190" s="353"/>
      <c r="E190" s="353"/>
      <c r="F190" s="353"/>
      <c r="G190" s="353"/>
      <c r="H190" s="353"/>
      <c r="I190" s="353"/>
      <c r="J190" s="353"/>
      <c r="K190" s="353"/>
      <c r="L190" s="353"/>
      <c r="M190" s="353"/>
      <c r="N190" s="353"/>
      <c r="O190" s="353"/>
      <c r="P190" s="353"/>
      <c r="Q190" s="353"/>
      <c r="R190" s="353"/>
      <c r="S190" s="353"/>
      <c r="T190" s="353"/>
      <c r="U190" s="353"/>
    </row>
    <row r="191" spans="1:21">
      <c r="A191" s="346" t="s">
        <v>7</v>
      </c>
      <c r="B191" s="188" t="s">
        <v>786</v>
      </c>
      <c r="C191" s="345"/>
      <c r="D191" s="188"/>
      <c r="E191" s="188"/>
      <c r="F191" s="188"/>
      <c r="G191" s="188"/>
      <c r="H191" s="188"/>
      <c r="I191" s="188"/>
      <c r="J191" s="188"/>
      <c r="K191" s="188"/>
      <c r="L191" s="188"/>
      <c r="M191" s="188"/>
      <c r="N191" s="188"/>
      <c r="O191" s="188"/>
      <c r="P191" s="188"/>
      <c r="Q191" s="188"/>
      <c r="R191" s="188"/>
      <c r="S191" s="188"/>
      <c r="T191" s="188"/>
      <c r="U191" s="188"/>
    </row>
    <row r="192" spans="1:21">
      <c r="A192" s="424" t="s">
        <v>9</v>
      </c>
      <c r="B192" s="188" t="s">
        <v>940</v>
      </c>
      <c r="C192" s="345"/>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46" t="s">
        <v>11</v>
      </c>
      <c r="B193" s="347" t="s">
        <v>796</v>
      </c>
      <c r="C193" s="188"/>
      <c r="D193" s="188"/>
      <c r="E193" s="188"/>
      <c r="F193" s="188"/>
      <c r="G193" s="188"/>
      <c r="H193" s="188"/>
      <c r="I193" s="188"/>
      <c r="J193" s="188"/>
      <c r="K193" s="188"/>
      <c r="L193" s="188"/>
      <c r="M193" s="188"/>
      <c r="N193" s="188"/>
      <c r="O193" s="188"/>
      <c r="P193" s="188"/>
      <c r="Q193" s="188"/>
      <c r="R193" s="188"/>
      <c r="S193" s="188"/>
      <c r="T193" s="188"/>
      <c r="U193" s="188"/>
    </row>
    <row r="194" spans="1:21">
      <c r="A194" s="346" t="s">
        <v>13</v>
      </c>
      <c r="B194" s="188" t="s">
        <v>14</v>
      </c>
      <c r="C194" s="188"/>
      <c r="D194" s="188"/>
      <c r="E194" s="188"/>
      <c r="F194" s="188"/>
      <c r="G194" s="188"/>
      <c r="H194" s="188"/>
      <c r="I194" s="188"/>
      <c r="J194" s="188"/>
      <c r="K194" s="188"/>
      <c r="L194" s="188"/>
      <c r="M194" s="188"/>
      <c r="N194" s="188"/>
      <c r="O194" s="188"/>
      <c r="P194" s="188"/>
      <c r="Q194" s="188"/>
      <c r="R194" s="188"/>
      <c r="S194" s="188"/>
      <c r="T194" s="188"/>
      <c r="U194" s="188"/>
    </row>
    <row r="195" spans="1:21">
      <c r="A195" s="346" t="s">
        <v>15</v>
      </c>
      <c r="B195" s="425">
        <f>B200</f>
        <v>0.13</v>
      </c>
      <c r="C195" s="188"/>
      <c r="D195" s="188"/>
      <c r="E195" s="188"/>
      <c r="F195" s="188"/>
      <c r="G195" s="188"/>
      <c r="H195" s="188"/>
      <c r="I195" s="188"/>
      <c r="J195" s="188"/>
      <c r="K195" s="188"/>
      <c r="L195" s="188"/>
      <c r="M195" s="188"/>
      <c r="N195" s="188"/>
      <c r="O195" s="188"/>
      <c r="P195" s="188"/>
      <c r="Q195" s="188"/>
      <c r="R195" s="188"/>
      <c r="S195" s="188"/>
      <c r="T195" s="188"/>
      <c r="U195" s="188"/>
    </row>
    <row r="196" spans="1:21">
      <c r="A196" s="346" t="s">
        <v>16</v>
      </c>
      <c r="B196" s="188" t="s">
        <v>17</v>
      </c>
      <c r="C196" s="188"/>
      <c r="D196" s="188"/>
      <c r="E196" s="188"/>
      <c r="F196" s="188"/>
      <c r="G196" s="188"/>
      <c r="H196" s="188"/>
      <c r="I196" s="188"/>
      <c r="J196" s="188"/>
      <c r="K196" s="188"/>
      <c r="L196" s="188"/>
      <c r="M196" s="188"/>
      <c r="N196" s="188"/>
      <c r="O196" s="188"/>
      <c r="P196" s="188"/>
      <c r="Q196" s="188"/>
      <c r="R196" s="344" t="s">
        <v>885</v>
      </c>
      <c r="S196" s="188"/>
      <c r="T196" s="188"/>
      <c r="U196" s="188"/>
    </row>
    <row r="197" spans="1:21">
      <c r="A197" s="346" t="s">
        <v>18</v>
      </c>
      <c r="B197" s="188" t="s">
        <v>609</v>
      </c>
      <c r="C197" s="188"/>
      <c r="D197" s="188"/>
      <c r="E197" s="188"/>
      <c r="F197" s="188"/>
      <c r="G197" s="188"/>
      <c r="H197" s="188"/>
      <c r="I197" s="188"/>
      <c r="J197" s="188"/>
      <c r="K197" s="188"/>
      <c r="L197" s="188"/>
      <c r="M197" s="188"/>
      <c r="N197" s="188"/>
      <c r="O197" s="188"/>
      <c r="P197" s="188"/>
      <c r="Q197" s="188"/>
      <c r="R197" s="188" t="s">
        <v>886</v>
      </c>
      <c r="S197" s="188">
        <v>8900</v>
      </c>
      <c r="T197" s="188" t="s">
        <v>887</v>
      </c>
      <c r="U197" s="188"/>
    </row>
    <row r="198" spans="1:21">
      <c r="A198" s="343" t="s">
        <v>19</v>
      </c>
      <c r="B198" s="188"/>
      <c r="C198" s="188"/>
      <c r="D198" s="188"/>
      <c r="E198" s="188"/>
      <c r="F198" s="188"/>
      <c r="G198" s="188"/>
      <c r="H198" s="188"/>
      <c r="I198" s="188"/>
      <c r="J198" s="188"/>
      <c r="K198" s="188"/>
      <c r="L198" s="188"/>
      <c r="M198" s="188"/>
      <c r="N198" s="188"/>
      <c r="O198" s="188"/>
      <c r="P198" s="188"/>
      <c r="Q198" s="188"/>
      <c r="R198" s="188" t="s">
        <v>888</v>
      </c>
      <c r="S198" s="188">
        <f>5*10^-6</f>
        <v>4.9999999999999996E-6</v>
      </c>
      <c r="T198" s="188" t="s">
        <v>889</v>
      </c>
      <c r="U198" s="188"/>
    </row>
    <row r="199" spans="1:21">
      <c r="A199" s="344" t="s">
        <v>20</v>
      </c>
      <c r="B199" s="344" t="s">
        <v>21</v>
      </c>
      <c r="C199" s="344" t="s">
        <v>18</v>
      </c>
      <c r="D199" s="344" t="s">
        <v>22</v>
      </c>
      <c r="E199" s="344" t="s">
        <v>7</v>
      </c>
      <c r="F199" s="344" t="s">
        <v>13</v>
      </c>
      <c r="G199" s="344" t="s">
        <v>16</v>
      </c>
      <c r="H199" s="344" t="s">
        <v>23</v>
      </c>
      <c r="I199" s="344" t="s">
        <v>24</v>
      </c>
      <c r="J199" s="344" t="s">
        <v>25</v>
      </c>
      <c r="K199" s="344" t="s">
        <v>26</v>
      </c>
      <c r="L199" s="344" t="s">
        <v>27</v>
      </c>
      <c r="M199" s="344" t="s">
        <v>28</v>
      </c>
      <c r="N199" s="344" t="s">
        <v>11</v>
      </c>
      <c r="O199" s="188"/>
      <c r="P199" s="188"/>
      <c r="Q199" s="188"/>
      <c r="R199" s="427" t="s">
        <v>890</v>
      </c>
      <c r="S199" s="428">
        <f>S198*S197</f>
        <v>4.4499999999999998E-2</v>
      </c>
      <c r="T199" s="429" t="s">
        <v>891</v>
      </c>
      <c r="U199" s="188"/>
    </row>
    <row r="200" spans="1:21">
      <c r="A200" s="188" t="s">
        <v>939</v>
      </c>
      <c r="B200" s="415">
        <v>0.13</v>
      </c>
      <c r="C200" s="188" t="s">
        <v>609</v>
      </c>
      <c r="D200" s="408" t="s">
        <v>2</v>
      </c>
      <c r="E200" s="188" t="s">
        <v>29</v>
      </c>
      <c r="F200" s="188" t="s">
        <v>14</v>
      </c>
      <c r="G200" s="188" t="s">
        <v>30</v>
      </c>
      <c r="H200" s="188">
        <v>1</v>
      </c>
      <c r="I200" s="188">
        <f t="shared" ref="I200:I202" si="21">B200</f>
        <v>0.13</v>
      </c>
      <c r="J200" s="188" t="s">
        <v>31</v>
      </c>
      <c r="K200" s="188" t="s">
        <v>31</v>
      </c>
      <c r="L200" s="188" t="s">
        <v>31</v>
      </c>
      <c r="M200" s="188" t="s">
        <v>31</v>
      </c>
      <c r="N200" s="188"/>
      <c r="O200" s="449" t="s">
        <v>892</v>
      </c>
      <c r="P200" s="450">
        <f>B200*100</f>
        <v>13</v>
      </c>
      <c r="Q200" s="188"/>
      <c r="R200" s="188"/>
      <c r="S200" s="188"/>
      <c r="T200" s="188"/>
      <c r="U200" s="188"/>
    </row>
    <row r="201" spans="1:21">
      <c r="A201" s="188" t="s">
        <v>941</v>
      </c>
      <c r="B201" s="415">
        <v>0.13</v>
      </c>
      <c r="C201" s="188" t="s">
        <v>609</v>
      </c>
      <c r="D201" s="408" t="s">
        <v>2</v>
      </c>
      <c r="E201" s="188" t="s">
        <v>29</v>
      </c>
      <c r="F201" s="188" t="s">
        <v>14</v>
      </c>
      <c r="G201" s="188" t="s">
        <v>33</v>
      </c>
      <c r="H201" s="188">
        <v>1</v>
      </c>
      <c r="I201" s="188">
        <f t="shared" si="21"/>
        <v>0.13</v>
      </c>
      <c r="J201" s="188">
        <v>7.2284161474004766E-2</v>
      </c>
      <c r="K201" s="188" t="s">
        <v>31</v>
      </c>
      <c r="L201" s="188" t="s">
        <v>31</v>
      </c>
      <c r="M201" s="188" t="s">
        <v>31</v>
      </c>
      <c r="N201" s="188"/>
      <c r="O201" s="401" t="s">
        <v>892</v>
      </c>
      <c r="P201" s="414">
        <f>B201*100</f>
        <v>13</v>
      </c>
      <c r="Q201" s="188"/>
      <c r="R201" s="188" t="s">
        <v>554</v>
      </c>
      <c r="S201" s="188"/>
      <c r="T201" s="188"/>
      <c r="U201" s="410"/>
    </row>
    <row r="202" spans="1:21">
      <c r="A202" s="192" t="s">
        <v>872</v>
      </c>
      <c r="B202" s="420">
        <f>T202</f>
        <v>7.5650000000000005E-3</v>
      </c>
      <c r="C202" s="188" t="s">
        <v>37</v>
      </c>
      <c r="D202" s="408" t="s">
        <v>2</v>
      </c>
      <c r="E202" s="188" t="s">
        <v>29</v>
      </c>
      <c r="F202" s="37" t="s">
        <v>14</v>
      </c>
      <c r="G202" s="188" t="s">
        <v>33</v>
      </c>
      <c r="H202" s="188">
        <v>1</v>
      </c>
      <c r="I202" s="188">
        <f t="shared" si="21"/>
        <v>7.5650000000000005E-3</v>
      </c>
      <c r="J202" s="188">
        <v>7.2284161474004766E-2</v>
      </c>
      <c r="K202" s="188" t="s">
        <v>31</v>
      </c>
      <c r="L202" s="188" t="s">
        <v>31</v>
      </c>
      <c r="M202" s="188" t="s">
        <v>31</v>
      </c>
      <c r="N202" s="188"/>
      <c r="O202" s="192"/>
      <c r="P202" s="421"/>
      <c r="Q202" s="188"/>
      <c r="R202" s="430">
        <v>0.17</v>
      </c>
      <c r="S202" s="431" t="s">
        <v>610</v>
      </c>
      <c r="T202" s="430">
        <f>R202*S199</f>
        <v>7.5650000000000005E-3</v>
      </c>
      <c r="U202" s="431" t="s">
        <v>241</v>
      </c>
    </row>
    <row r="203" spans="1:21">
      <c r="A203" s="346" t="s">
        <v>799</v>
      </c>
      <c r="B203" s="188">
        <v>1.3</v>
      </c>
      <c r="C203" s="188" t="s">
        <v>37</v>
      </c>
      <c r="D203" s="188" t="s">
        <v>40</v>
      </c>
      <c r="E203" s="188" t="s">
        <v>29</v>
      </c>
      <c r="F203" s="37" t="s">
        <v>74</v>
      </c>
      <c r="G203" s="188" t="s">
        <v>33</v>
      </c>
      <c r="H203" s="188">
        <v>2</v>
      </c>
      <c r="I203" s="188">
        <f t="shared" ref="I203" si="22">LN(B203)</f>
        <v>0.26236426446749106</v>
      </c>
      <c r="J203" s="188">
        <v>7.2284161474004766E-2</v>
      </c>
      <c r="K203" s="188" t="s">
        <v>31</v>
      </c>
      <c r="L203" s="188" t="s">
        <v>31</v>
      </c>
      <c r="M203" s="188" t="s">
        <v>31</v>
      </c>
      <c r="N203" s="188"/>
      <c r="O203" s="192"/>
      <c r="P203" s="421"/>
      <c r="Q203" s="188"/>
      <c r="R203" s="188"/>
      <c r="S203" s="188"/>
      <c r="T203" s="188"/>
      <c r="U203" s="188"/>
    </row>
    <row r="204" spans="1:21">
      <c r="A204" s="37" t="s">
        <v>874</v>
      </c>
      <c r="B204" s="451">
        <f>0.1*10^(-6)</f>
        <v>9.9999999999999995E-8</v>
      </c>
      <c r="C204" s="188" t="s">
        <v>37</v>
      </c>
      <c r="D204" s="188" t="s">
        <v>40</v>
      </c>
      <c r="E204" s="188" t="s">
        <v>29</v>
      </c>
      <c r="F204" s="37" t="s">
        <v>59</v>
      </c>
      <c r="G204" s="188" t="s">
        <v>33</v>
      </c>
      <c r="H204" s="188">
        <v>2</v>
      </c>
      <c r="I204" s="188">
        <f>LN(B204)</f>
        <v>-16.11809565095832</v>
      </c>
      <c r="J204" s="188">
        <v>7.2284161474004766E-2</v>
      </c>
      <c r="K204" s="188" t="s">
        <v>31</v>
      </c>
      <c r="L204" s="188" t="s">
        <v>31</v>
      </c>
      <c r="M204" s="188" t="s">
        <v>31</v>
      </c>
      <c r="N204" s="188"/>
      <c r="O204" s="192"/>
      <c r="P204" s="421"/>
      <c r="Q204" s="188"/>
      <c r="R204" s="188"/>
      <c r="S204" s="188"/>
      <c r="T204" s="188"/>
      <c r="U204" s="188"/>
    </row>
    <row r="205" spans="1:21">
      <c r="A205" s="37" t="s">
        <v>76</v>
      </c>
      <c r="B205" s="188">
        <f>0.001*1.3</f>
        <v>1.3000000000000002E-3</v>
      </c>
      <c r="C205" s="188" t="s">
        <v>42</v>
      </c>
      <c r="D205" s="188" t="s">
        <v>40</v>
      </c>
      <c r="E205" s="188" t="s">
        <v>29</v>
      </c>
      <c r="F205" s="37" t="s">
        <v>74</v>
      </c>
      <c r="G205" s="188" t="s">
        <v>33</v>
      </c>
      <c r="H205" s="188">
        <v>2</v>
      </c>
      <c r="I205" s="188">
        <f t="shared" ref="I205" si="23">LN(B205)</f>
        <v>-6.6453910145146455</v>
      </c>
      <c r="J205" s="188">
        <v>7.2284161474004766E-2</v>
      </c>
      <c r="K205" s="188" t="s">
        <v>31</v>
      </c>
      <c r="L205" s="188" t="s">
        <v>31</v>
      </c>
      <c r="M205" s="188" t="s">
        <v>31</v>
      </c>
      <c r="N205" s="188"/>
      <c r="O205" s="192"/>
      <c r="P205" s="421"/>
      <c r="Q205" s="435"/>
      <c r="R205" s="188"/>
      <c r="S205" s="188"/>
      <c r="T205" s="188"/>
      <c r="U205" s="188"/>
    </row>
    <row r="206" spans="1:21" s="70" customFormat="1">
      <c r="A206" s="370" t="s">
        <v>5</v>
      </c>
      <c r="B206" s="371" t="s">
        <v>941</v>
      </c>
      <c r="C206" s="372"/>
      <c r="D206" s="353"/>
      <c r="E206" s="353"/>
      <c r="F206" s="353"/>
      <c r="G206" s="353"/>
      <c r="H206" s="353"/>
      <c r="I206" s="353"/>
      <c r="J206" s="353"/>
      <c r="K206" s="353"/>
      <c r="L206" s="353"/>
      <c r="M206" s="353"/>
      <c r="N206" s="353"/>
      <c r="O206" s="353"/>
      <c r="P206" s="353"/>
      <c r="Q206" s="353"/>
      <c r="R206" s="353"/>
      <c r="S206" s="353"/>
      <c r="T206" s="353"/>
      <c r="U206" s="353"/>
    </row>
    <row r="207" spans="1:21">
      <c r="A207" s="346" t="s">
        <v>7</v>
      </c>
      <c r="B207" s="188" t="s">
        <v>786</v>
      </c>
      <c r="C207" s="345"/>
      <c r="D207" s="188"/>
      <c r="E207" s="188"/>
      <c r="F207" s="188"/>
      <c r="G207" s="188"/>
      <c r="H207" s="188"/>
      <c r="I207" s="188"/>
      <c r="J207" s="188"/>
      <c r="K207" s="188"/>
      <c r="L207" s="188"/>
      <c r="M207" s="188"/>
      <c r="N207" s="188"/>
      <c r="O207" s="188"/>
      <c r="P207" s="188"/>
      <c r="Q207" s="188"/>
      <c r="R207" s="188"/>
      <c r="S207" s="188"/>
      <c r="T207" s="188"/>
      <c r="U207" s="188"/>
    </row>
    <row r="208" spans="1:21">
      <c r="A208" s="424" t="s">
        <v>9</v>
      </c>
      <c r="B208" s="188" t="s">
        <v>942</v>
      </c>
      <c r="C208" s="345"/>
      <c r="D208" s="188"/>
      <c r="E208" s="188"/>
      <c r="F208" s="188"/>
      <c r="G208" s="188"/>
      <c r="H208" s="188"/>
      <c r="I208" s="188"/>
      <c r="J208" s="188"/>
      <c r="K208" s="188"/>
      <c r="L208" s="188"/>
      <c r="M208" s="188"/>
      <c r="N208" s="188"/>
      <c r="O208" s="188"/>
      <c r="P208" s="188"/>
      <c r="Q208" s="188"/>
      <c r="R208" s="188"/>
      <c r="S208" s="188"/>
      <c r="T208" s="188"/>
      <c r="U208" s="188"/>
    </row>
    <row r="209" spans="1:21" ht="15.75" customHeight="1">
      <c r="A209" s="346" t="s">
        <v>11</v>
      </c>
      <c r="B209" s="347" t="s">
        <v>796</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46" t="s">
        <v>13</v>
      </c>
      <c r="B210" s="188" t="s">
        <v>14</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46" t="s">
        <v>15</v>
      </c>
      <c r="B211" s="425">
        <v>0.1</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46" t="s">
        <v>16</v>
      </c>
      <c r="B212" s="188" t="s">
        <v>17</v>
      </c>
      <c r="C212" s="188"/>
      <c r="D212" s="188"/>
      <c r="E212" s="188"/>
      <c r="F212" s="188"/>
      <c r="G212" s="188"/>
      <c r="H212" s="188"/>
      <c r="I212" s="188"/>
      <c r="J212" s="188"/>
      <c r="K212" s="188"/>
      <c r="L212" s="188"/>
      <c r="M212" s="188"/>
      <c r="N212" s="188"/>
      <c r="O212" s="188"/>
      <c r="P212" s="188"/>
      <c r="Q212" s="188"/>
      <c r="R212" s="188"/>
      <c r="S212" s="188"/>
      <c r="T212" s="188"/>
      <c r="U212" s="188"/>
    </row>
    <row r="213" spans="1:21">
      <c r="A213" s="346" t="s">
        <v>18</v>
      </c>
      <c r="B213" s="188" t="s">
        <v>609</v>
      </c>
      <c r="C213" s="188"/>
      <c r="D213" s="188"/>
      <c r="E213" s="188"/>
      <c r="F213" s="188"/>
      <c r="G213" s="188"/>
      <c r="H213" s="188"/>
      <c r="I213" s="188"/>
      <c r="J213" s="188"/>
      <c r="K213" s="188"/>
      <c r="L213" s="188"/>
      <c r="M213" s="188"/>
      <c r="N213" s="188"/>
      <c r="O213" s="188"/>
      <c r="P213" s="188"/>
      <c r="Q213" s="188"/>
      <c r="R213" s="188"/>
      <c r="S213" s="415"/>
      <c r="T213" s="188"/>
      <c r="U213" s="188"/>
    </row>
    <row r="214" spans="1:21">
      <c r="A214" s="343" t="s">
        <v>19</v>
      </c>
      <c r="B214" s="188"/>
      <c r="C214" s="188"/>
      <c r="D214" s="188"/>
      <c r="E214" s="188"/>
      <c r="F214" s="188"/>
      <c r="G214" s="188"/>
      <c r="H214" s="188"/>
      <c r="I214" s="188"/>
      <c r="J214" s="188"/>
      <c r="K214" s="188"/>
      <c r="L214" s="188"/>
      <c r="M214" s="188"/>
      <c r="N214" s="188"/>
      <c r="O214" s="188"/>
      <c r="P214" s="188"/>
      <c r="Q214" s="188"/>
      <c r="R214" s="188"/>
      <c r="S214" s="188"/>
      <c r="T214" s="188"/>
      <c r="U214" s="188"/>
    </row>
    <row r="215" spans="1:21">
      <c r="A215" s="344" t="s">
        <v>20</v>
      </c>
      <c r="B215" s="344" t="s">
        <v>21</v>
      </c>
      <c r="C215" s="344" t="s">
        <v>18</v>
      </c>
      <c r="D215" s="344" t="s">
        <v>22</v>
      </c>
      <c r="E215" s="344" t="s">
        <v>7</v>
      </c>
      <c r="F215" s="344" t="s">
        <v>13</v>
      </c>
      <c r="G215" s="344" t="s">
        <v>16</v>
      </c>
      <c r="H215" s="344" t="s">
        <v>23</v>
      </c>
      <c r="I215" s="344" t="s">
        <v>24</v>
      </c>
      <c r="J215" s="344" t="s">
        <v>25</v>
      </c>
      <c r="K215" s="344" t="s">
        <v>26</v>
      </c>
      <c r="L215" s="344" t="s">
        <v>27</v>
      </c>
      <c r="M215" s="344" t="s">
        <v>28</v>
      </c>
      <c r="N215" s="344" t="s">
        <v>11</v>
      </c>
      <c r="O215" s="188"/>
      <c r="P215" s="188"/>
      <c r="Q215" s="188"/>
      <c r="R215" s="188"/>
      <c r="S215" s="188"/>
      <c r="T215" s="188"/>
      <c r="U215" s="188"/>
    </row>
    <row r="216" spans="1:21">
      <c r="A216" s="188" t="s">
        <v>941</v>
      </c>
      <c r="B216" s="415">
        <f>0.01</f>
        <v>0.01</v>
      </c>
      <c r="C216" s="188" t="s">
        <v>609</v>
      </c>
      <c r="D216" s="408" t="s">
        <v>2</v>
      </c>
      <c r="E216" s="188" t="s">
        <v>29</v>
      </c>
      <c r="F216" s="188" t="s">
        <v>14</v>
      </c>
      <c r="G216" s="188" t="s">
        <v>30</v>
      </c>
      <c r="H216" s="188">
        <v>1</v>
      </c>
      <c r="I216" s="188">
        <f t="shared" ref="I216:I217" si="24">B216</f>
        <v>0.01</v>
      </c>
      <c r="J216" s="188" t="s">
        <v>31</v>
      </c>
      <c r="K216" s="188" t="s">
        <v>31</v>
      </c>
      <c r="L216" s="188" t="s">
        <v>31</v>
      </c>
      <c r="M216" s="188" t="s">
        <v>31</v>
      </c>
      <c r="N216" s="188"/>
      <c r="O216" s="401" t="s">
        <v>892</v>
      </c>
      <c r="P216" s="414">
        <f>B216*100</f>
        <v>1</v>
      </c>
      <c r="Q216" s="188"/>
      <c r="R216" s="188"/>
      <c r="S216" s="188"/>
      <c r="T216" s="188"/>
      <c r="U216" s="188"/>
    </row>
    <row r="217" spans="1:21">
      <c r="A217" s="188" t="s">
        <v>877</v>
      </c>
      <c r="B217" s="415">
        <f>0.01</f>
        <v>0.01</v>
      </c>
      <c r="C217" s="188" t="s">
        <v>37</v>
      </c>
      <c r="D217" s="408" t="s">
        <v>2</v>
      </c>
      <c r="E217" s="188" t="s">
        <v>29</v>
      </c>
      <c r="F217" s="188" t="s">
        <v>14</v>
      </c>
      <c r="G217" s="188" t="s">
        <v>33</v>
      </c>
      <c r="H217" s="188">
        <v>1</v>
      </c>
      <c r="I217" s="188">
        <f t="shared" si="24"/>
        <v>0.01</v>
      </c>
      <c r="J217" s="188" t="s">
        <v>31</v>
      </c>
      <c r="K217" s="188" t="s">
        <v>31</v>
      </c>
      <c r="L217" s="188" t="s">
        <v>31</v>
      </c>
      <c r="M217" s="188" t="s">
        <v>31</v>
      </c>
      <c r="N217" s="188"/>
      <c r="O217" s="432"/>
      <c r="P217" s="433"/>
      <c r="Q217" s="188"/>
      <c r="R217" s="188"/>
      <c r="S217" s="188"/>
      <c r="T217" s="188"/>
      <c r="U217" s="188"/>
    </row>
    <row r="218" spans="1:21">
      <c r="A218" s="346" t="s">
        <v>269</v>
      </c>
      <c r="B218" s="350">
        <f>P218</f>
        <v>0.09</v>
      </c>
      <c r="C218" s="188" t="s">
        <v>39</v>
      </c>
      <c r="D218" s="188" t="s">
        <v>40</v>
      </c>
      <c r="E218" s="188" t="s">
        <v>29</v>
      </c>
      <c r="F218" s="37" t="s">
        <v>35</v>
      </c>
      <c r="G218" s="188" t="s">
        <v>33</v>
      </c>
      <c r="H218" s="188">
        <v>2</v>
      </c>
      <c r="I218" s="188">
        <f t="shared" ref="I218:I219" si="25">LN(B218)</f>
        <v>-2.4079456086518722</v>
      </c>
      <c r="J218" s="188">
        <v>7.2284161474004766E-2</v>
      </c>
      <c r="K218" s="188" t="s">
        <v>31</v>
      </c>
      <c r="L218" s="188" t="s">
        <v>31</v>
      </c>
      <c r="M218" s="188" t="s">
        <v>31</v>
      </c>
      <c r="N218" s="188"/>
      <c r="O218" s="401" t="s">
        <v>248</v>
      </c>
      <c r="P218" s="114">
        <v>0.09</v>
      </c>
      <c r="Q218" s="188"/>
      <c r="R218" s="188"/>
      <c r="S218" s="188"/>
      <c r="T218" s="188"/>
      <c r="U218" s="188"/>
    </row>
    <row r="219" spans="1:21">
      <c r="A219" s="37" t="s">
        <v>310</v>
      </c>
      <c r="B219" s="188">
        <f>R219</f>
        <v>2E-3</v>
      </c>
      <c r="C219" s="415" t="s">
        <v>37</v>
      </c>
      <c r="D219" s="188" t="s">
        <v>40</v>
      </c>
      <c r="E219" s="188" t="s">
        <v>29</v>
      </c>
      <c r="F219" s="188" t="s">
        <v>59</v>
      </c>
      <c r="G219" s="188" t="s">
        <v>33</v>
      </c>
      <c r="H219" s="188">
        <v>2</v>
      </c>
      <c r="I219" s="188">
        <f t="shared" si="25"/>
        <v>-6.2146080984221914</v>
      </c>
      <c r="J219" s="188">
        <v>7.2284161474004766E-2</v>
      </c>
      <c r="K219" s="188" t="s">
        <v>31</v>
      </c>
      <c r="L219" s="188" t="s">
        <v>31</v>
      </c>
      <c r="M219" s="188" t="s">
        <v>31</v>
      </c>
      <c r="N219" s="188"/>
      <c r="O219" s="401" t="s">
        <v>580</v>
      </c>
      <c r="P219" s="114">
        <v>2</v>
      </c>
      <c r="Q219" s="188" t="s">
        <v>241</v>
      </c>
      <c r="R219" s="188">
        <f>P219*0.001</f>
        <v>2E-3</v>
      </c>
      <c r="S219" s="188"/>
      <c r="T219" s="188"/>
      <c r="U219" s="188"/>
    </row>
    <row r="220" spans="1:21">
      <c r="A220" s="412" t="s">
        <v>871</v>
      </c>
      <c r="B220" s="188">
        <f t="shared" ref="B220:B221" si="26">R220</f>
        <v>4.0000000000000001E-3</v>
      </c>
      <c r="C220" s="188" t="s">
        <v>37</v>
      </c>
      <c r="D220" s="188" t="s">
        <v>40</v>
      </c>
      <c r="E220" s="188" t="s">
        <v>29</v>
      </c>
      <c r="F220" s="37" t="s">
        <v>35</v>
      </c>
      <c r="G220" s="188" t="s">
        <v>33</v>
      </c>
      <c r="H220" s="188">
        <v>2</v>
      </c>
      <c r="I220" s="188">
        <f>LN(B220)</f>
        <v>-5.521460917862246</v>
      </c>
      <c r="J220" s="188">
        <v>7.2284161474004766E-2</v>
      </c>
      <c r="K220" s="188" t="s">
        <v>31</v>
      </c>
      <c r="L220" s="188" t="s">
        <v>31</v>
      </c>
      <c r="M220" s="188" t="s">
        <v>31</v>
      </c>
      <c r="N220" s="188"/>
      <c r="O220" s="401" t="s">
        <v>580</v>
      </c>
      <c r="P220" s="114">
        <v>4</v>
      </c>
      <c r="Q220" s="188" t="s">
        <v>241</v>
      </c>
      <c r="R220" s="188">
        <f>P220*0.001</f>
        <v>4.0000000000000001E-3</v>
      </c>
      <c r="S220" s="188"/>
      <c r="T220" s="188"/>
      <c r="U220" s="188"/>
    </row>
    <row r="221" spans="1:21">
      <c r="A221" s="346" t="s">
        <v>799</v>
      </c>
      <c r="B221" s="188">
        <f t="shared" si="26"/>
        <v>3.3999999999999998E-3</v>
      </c>
      <c r="C221" s="188" t="s">
        <v>37</v>
      </c>
      <c r="D221" s="188" t="s">
        <v>40</v>
      </c>
      <c r="E221" s="188" t="s">
        <v>29</v>
      </c>
      <c r="F221" s="37" t="s">
        <v>74</v>
      </c>
      <c r="G221" s="188" t="s">
        <v>33</v>
      </c>
      <c r="H221" s="188">
        <v>2</v>
      </c>
      <c r="I221" s="188">
        <f t="shared" ref="I221:I222" si="27">LN(B221)</f>
        <v>-5.6839798473600212</v>
      </c>
      <c r="J221" s="188">
        <v>7.2284161474004766E-2</v>
      </c>
      <c r="K221" s="188" t="s">
        <v>31</v>
      </c>
      <c r="L221" s="188" t="s">
        <v>31</v>
      </c>
      <c r="M221" s="188" t="s">
        <v>31</v>
      </c>
      <c r="N221" s="188"/>
      <c r="O221" s="401" t="s">
        <v>241</v>
      </c>
      <c r="P221" s="114">
        <v>3.4</v>
      </c>
      <c r="Q221" s="188" t="s">
        <v>241</v>
      </c>
      <c r="R221" s="188">
        <f t="shared" ref="R221" si="28">0.001*P221</f>
        <v>3.3999999999999998E-3</v>
      </c>
      <c r="S221" s="188"/>
      <c r="T221" s="188"/>
      <c r="U221" s="188"/>
    </row>
    <row r="222" spans="1:21">
      <c r="A222" s="37" t="s">
        <v>76</v>
      </c>
      <c r="B222" s="188">
        <f>R222</f>
        <v>3.3999999999999998E-3</v>
      </c>
      <c r="C222" s="188" t="s">
        <v>42</v>
      </c>
      <c r="D222" s="188" t="s">
        <v>40</v>
      </c>
      <c r="E222" s="188" t="s">
        <v>29</v>
      </c>
      <c r="F222" s="37" t="s">
        <v>74</v>
      </c>
      <c r="G222" s="188" t="s">
        <v>33</v>
      </c>
      <c r="H222" s="188">
        <v>2</v>
      </c>
      <c r="I222" s="188">
        <f t="shared" si="27"/>
        <v>-5.6839798473600212</v>
      </c>
      <c r="J222" s="188">
        <v>7.2284161474004766E-2</v>
      </c>
      <c r="K222" s="188" t="s">
        <v>31</v>
      </c>
      <c r="L222" s="188" t="s">
        <v>31</v>
      </c>
      <c r="M222" s="188" t="s">
        <v>31</v>
      </c>
      <c r="N222" s="188"/>
      <c r="O222" s="418" t="s">
        <v>863</v>
      </c>
      <c r="P222" s="119">
        <v>3.4</v>
      </c>
      <c r="Q222" s="188" t="s">
        <v>251</v>
      </c>
      <c r="R222" s="188">
        <f>0.001*P222</f>
        <v>3.3999999999999998E-3</v>
      </c>
      <c r="S222" s="188"/>
      <c r="T222" s="188"/>
      <c r="U222" s="188"/>
    </row>
    <row r="223" spans="1:21" s="70" customFormat="1">
      <c r="A223" s="370" t="s">
        <v>5</v>
      </c>
      <c r="B223" s="446" t="s">
        <v>934</v>
      </c>
      <c r="C223" s="372"/>
      <c r="D223" s="353"/>
      <c r="E223" s="353"/>
      <c r="F223" s="353"/>
      <c r="G223" s="353"/>
      <c r="H223" s="353"/>
      <c r="I223" s="353"/>
      <c r="J223" s="353"/>
      <c r="K223" s="353"/>
      <c r="L223" s="353"/>
      <c r="M223" s="353"/>
      <c r="N223" s="353"/>
      <c r="O223" s="353"/>
      <c r="P223" s="353"/>
      <c r="Q223" s="353"/>
      <c r="R223" s="353"/>
      <c r="S223" s="353"/>
      <c r="T223" s="353"/>
      <c r="U223" s="353"/>
    </row>
    <row r="224" spans="1:21">
      <c r="A224" s="346" t="s">
        <v>7</v>
      </c>
      <c r="B224" s="188" t="s">
        <v>786</v>
      </c>
      <c r="C224" s="345"/>
      <c r="D224" s="188"/>
      <c r="E224" s="188"/>
      <c r="F224" s="188"/>
      <c r="G224" s="188"/>
      <c r="H224" s="188"/>
      <c r="I224" s="188"/>
      <c r="J224" s="188"/>
      <c r="K224" s="188"/>
      <c r="L224" s="188"/>
      <c r="M224" s="188"/>
      <c r="N224" s="188"/>
      <c r="O224" s="188"/>
      <c r="P224" s="188"/>
      <c r="Q224" s="188"/>
      <c r="R224" s="188"/>
      <c r="S224" s="188"/>
      <c r="T224" s="188"/>
      <c r="U224" s="188"/>
    </row>
    <row r="225" spans="1:21">
      <c r="A225" s="424" t="s">
        <v>9</v>
      </c>
      <c r="B225" s="188" t="s">
        <v>943</v>
      </c>
      <c r="C225" s="345"/>
      <c r="D225" s="188"/>
      <c r="E225" s="188"/>
      <c r="F225" s="188"/>
      <c r="G225" s="188"/>
      <c r="H225" s="188"/>
      <c r="I225" s="188"/>
      <c r="J225" s="188"/>
      <c r="K225" s="188"/>
      <c r="L225" s="188"/>
      <c r="M225" s="188"/>
      <c r="N225" s="188"/>
      <c r="O225" s="188"/>
      <c r="P225" s="188"/>
      <c r="Q225" s="188"/>
      <c r="R225" s="188"/>
      <c r="S225" s="188"/>
      <c r="T225" s="188"/>
      <c r="U225" s="188"/>
    </row>
    <row r="226" spans="1:21" ht="15.75" customHeight="1">
      <c r="A226" s="346" t="s">
        <v>11</v>
      </c>
      <c r="B226" s="347" t="s">
        <v>796</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46" t="s">
        <v>13</v>
      </c>
      <c r="B227" s="188" t="s">
        <v>14</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46" t="s">
        <v>15</v>
      </c>
      <c r="B228" s="425">
        <f>B233</f>
        <v>6.0000000000000001E-3</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46" t="s">
        <v>16</v>
      </c>
      <c r="B229" s="188" t="s">
        <v>17</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46" t="s">
        <v>18</v>
      </c>
      <c r="B230" s="188" t="s">
        <v>609</v>
      </c>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43" t="s">
        <v>19</v>
      </c>
      <c r="B231" s="188"/>
      <c r="C231" s="188"/>
      <c r="D231" s="188"/>
      <c r="E231" s="188"/>
      <c r="F231" s="188"/>
      <c r="G231" s="188"/>
      <c r="H231" s="188"/>
      <c r="I231" s="188"/>
      <c r="J231" s="188"/>
      <c r="K231" s="188"/>
      <c r="L231" s="188"/>
      <c r="M231" s="188"/>
      <c r="N231" s="188"/>
      <c r="O231" s="188"/>
      <c r="P231" s="188"/>
      <c r="Q231" s="188"/>
      <c r="R231" s="188"/>
      <c r="S231" s="188"/>
      <c r="T231" s="188"/>
      <c r="U231" s="188"/>
    </row>
    <row r="232" spans="1:21">
      <c r="A232" s="344" t="s">
        <v>20</v>
      </c>
      <c r="B232" s="344" t="s">
        <v>21</v>
      </c>
      <c r="C232" s="344" t="s">
        <v>18</v>
      </c>
      <c r="D232" s="344" t="s">
        <v>22</v>
      </c>
      <c r="E232" s="344" t="s">
        <v>7</v>
      </c>
      <c r="F232" s="344" t="s">
        <v>13</v>
      </c>
      <c r="G232" s="344" t="s">
        <v>16</v>
      </c>
      <c r="H232" s="344" t="s">
        <v>23</v>
      </c>
      <c r="I232" s="344" t="s">
        <v>24</v>
      </c>
      <c r="J232" s="344" t="s">
        <v>25</v>
      </c>
      <c r="K232" s="344" t="s">
        <v>26</v>
      </c>
      <c r="L232" s="344" t="s">
        <v>27</v>
      </c>
      <c r="M232" s="344" t="s">
        <v>28</v>
      </c>
      <c r="N232" s="344" t="s">
        <v>11</v>
      </c>
      <c r="O232" s="188"/>
      <c r="P232" s="188"/>
      <c r="Q232" s="188"/>
      <c r="R232" s="188"/>
      <c r="S232" s="188"/>
      <c r="T232" s="188"/>
      <c r="U232" s="188"/>
    </row>
    <row r="233" spans="1:21">
      <c r="A233" s="188" t="s">
        <v>934</v>
      </c>
      <c r="B233" s="415">
        <f>B234</f>
        <v>6.0000000000000001E-3</v>
      </c>
      <c r="C233" s="188" t="s">
        <v>609</v>
      </c>
      <c r="D233" s="408" t="s">
        <v>2</v>
      </c>
      <c r="E233" s="188" t="s">
        <v>29</v>
      </c>
      <c r="F233" s="37" t="s">
        <v>14</v>
      </c>
      <c r="G233" s="188" t="s">
        <v>30</v>
      </c>
      <c r="H233" s="188">
        <v>1</v>
      </c>
      <c r="I233" s="188">
        <f t="shared" ref="I233:I235" si="29">B233</f>
        <v>6.0000000000000001E-3</v>
      </c>
      <c r="J233" s="188" t="s">
        <v>31</v>
      </c>
      <c r="K233" s="188" t="s">
        <v>31</v>
      </c>
      <c r="L233" s="188" t="s">
        <v>31</v>
      </c>
      <c r="M233" s="188" t="s">
        <v>31</v>
      </c>
      <c r="N233" s="188"/>
      <c r="O233" s="188"/>
      <c r="P233" s="188"/>
      <c r="Q233" s="188"/>
      <c r="R233" s="188"/>
      <c r="S233" s="188"/>
      <c r="T233" s="188"/>
      <c r="U233" s="188"/>
    </row>
    <row r="234" spans="1:21">
      <c r="A234" s="188" t="s">
        <v>944</v>
      </c>
      <c r="B234" s="415">
        <f>B254</f>
        <v>6.0000000000000001E-3</v>
      </c>
      <c r="C234" s="188" t="s">
        <v>609</v>
      </c>
      <c r="D234" s="408" t="s">
        <v>2</v>
      </c>
      <c r="E234" s="188" t="s">
        <v>29</v>
      </c>
      <c r="F234" s="37" t="s">
        <v>14</v>
      </c>
      <c r="G234" s="188" t="s">
        <v>33</v>
      </c>
      <c r="H234" s="188">
        <v>1</v>
      </c>
      <c r="I234" s="188">
        <f t="shared" si="29"/>
        <v>6.0000000000000001E-3</v>
      </c>
      <c r="J234" s="188" t="s">
        <v>31</v>
      </c>
      <c r="K234" s="188" t="s">
        <v>31</v>
      </c>
      <c r="L234" s="188" t="s">
        <v>31</v>
      </c>
      <c r="M234" s="188" t="s">
        <v>31</v>
      </c>
      <c r="N234" s="188"/>
      <c r="O234" s="188"/>
      <c r="P234" s="188"/>
      <c r="Q234" s="188"/>
      <c r="R234" s="188"/>
      <c r="S234" s="188"/>
      <c r="T234" s="188"/>
      <c r="U234" s="188"/>
    </row>
    <row r="235" spans="1:21">
      <c r="A235" s="188" t="s">
        <v>945</v>
      </c>
      <c r="B235" s="415">
        <f>B242</f>
        <v>1.0300000000000001E-3</v>
      </c>
      <c r="C235" s="188" t="s">
        <v>609</v>
      </c>
      <c r="D235" s="408" t="s">
        <v>2</v>
      </c>
      <c r="E235" s="188" t="s">
        <v>29</v>
      </c>
      <c r="F235" s="37" t="s">
        <v>14</v>
      </c>
      <c r="G235" s="188" t="s">
        <v>33</v>
      </c>
      <c r="H235" s="188">
        <v>1</v>
      </c>
      <c r="I235" s="188">
        <f t="shared" si="29"/>
        <v>1.0300000000000001E-3</v>
      </c>
      <c r="J235" s="188" t="s">
        <v>31</v>
      </c>
      <c r="K235" s="188" t="s">
        <v>31</v>
      </c>
      <c r="L235" s="188" t="s">
        <v>31</v>
      </c>
      <c r="M235" s="188" t="s">
        <v>31</v>
      </c>
      <c r="N235" s="188"/>
      <c r="O235" s="188"/>
      <c r="P235" s="188"/>
      <c r="Q235" s="188"/>
      <c r="R235" s="188"/>
      <c r="S235" s="188"/>
      <c r="T235" s="188"/>
      <c r="U235" s="188"/>
    </row>
    <row r="236" spans="1:21">
      <c r="A236" s="346" t="s">
        <v>269</v>
      </c>
      <c r="B236" s="350">
        <v>0.14000000000000001</v>
      </c>
      <c r="C236" s="188" t="s">
        <v>39</v>
      </c>
      <c r="D236" s="188" t="s">
        <v>40</v>
      </c>
      <c r="E236" s="188" t="s">
        <v>29</v>
      </c>
      <c r="F236" s="37" t="s">
        <v>35</v>
      </c>
      <c r="G236" s="188" t="s">
        <v>33</v>
      </c>
      <c r="H236" s="188">
        <v>2</v>
      </c>
      <c r="I236" s="188">
        <f t="shared" ref="I236" si="30">LN(B236)</f>
        <v>-1.9661128563728327</v>
      </c>
      <c r="J236" s="188">
        <v>0.20928449536456342</v>
      </c>
      <c r="K236" s="188" t="s">
        <v>31</v>
      </c>
      <c r="L236" s="188" t="s">
        <v>31</v>
      </c>
      <c r="M236" s="188" t="s">
        <v>31</v>
      </c>
      <c r="N236" s="188"/>
      <c r="O236" s="188"/>
      <c r="P236" s="188"/>
      <c r="Q236" s="188"/>
      <c r="R236" s="188"/>
      <c r="S236" s="188"/>
      <c r="T236" s="188"/>
      <c r="U236" s="188"/>
    </row>
    <row r="237" spans="1:21" s="70" customFormat="1">
      <c r="A237" s="370" t="s">
        <v>5</v>
      </c>
      <c r="B237" s="446" t="s">
        <v>945</v>
      </c>
      <c r="C237" s="372"/>
      <c r="D237" s="353"/>
      <c r="E237" s="353"/>
      <c r="F237" s="353"/>
      <c r="G237" s="353"/>
      <c r="H237" s="353"/>
      <c r="I237" s="353"/>
      <c r="J237" s="353"/>
      <c r="K237" s="353"/>
      <c r="L237" s="353"/>
      <c r="M237" s="353"/>
      <c r="N237" s="353"/>
      <c r="O237" s="353"/>
      <c r="P237" s="353"/>
      <c r="Q237" s="353"/>
      <c r="R237" s="353"/>
      <c r="S237" s="353"/>
      <c r="T237" s="353"/>
      <c r="U237" s="353"/>
    </row>
    <row r="238" spans="1:21">
      <c r="A238" s="346" t="s">
        <v>7</v>
      </c>
      <c r="B238" s="188" t="s">
        <v>786</v>
      </c>
      <c r="C238" s="345"/>
      <c r="D238" s="188"/>
      <c r="E238" s="188"/>
      <c r="F238" s="188"/>
      <c r="G238" s="188"/>
      <c r="H238" s="188"/>
      <c r="I238" s="188"/>
      <c r="J238" s="188"/>
      <c r="K238" s="188"/>
      <c r="L238" s="188"/>
      <c r="M238" s="188"/>
      <c r="N238" s="188"/>
      <c r="O238" s="188"/>
      <c r="P238" s="188"/>
      <c r="Q238" s="188"/>
      <c r="R238" s="188"/>
      <c r="S238" s="188"/>
      <c r="T238" s="188"/>
      <c r="U238" s="188"/>
    </row>
    <row r="239" spans="1:21">
      <c r="A239" s="424" t="s">
        <v>9</v>
      </c>
      <c r="B239" s="188" t="s">
        <v>946</v>
      </c>
      <c r="C239" s="345"/>
      <c r="D239" s="188"/>
      <c r="E239" s="188"/>
      <c r="F239" s="188"/>
      <c r="G239" s="188"/>
      <c r="H239" s="188"/>
      <c r="I239" s="188"/>
      <c r="J239" s="188"/>
      <c r="K239" s="188"/>
      <c r="L239" s="188"/>
      <c r="M239" s="188"/>
      <c r="N239" s="188"/>
      <c r="O239" s="188"/>
      <c r="P239" s="188"/>
      <c r="Q239" s="188"/>
      <c r="R239" s="188"/>
      <c r="S239" s="188"/>
      <c r="T239" s="188"/>
      <c r="U239" s="188"/>
    </row>
    <row r="240" spans="1:21" ht="15.75" customHeight="1">
      <c r="A240" s="346" t="s">
        <v>11</v>
      </c>
      <c r="B240" s="347" t="s">
        <v>796</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46" t="s">
        <v>13</v>
      </c>
      <c r="B241" s="188" t="s">
        <v>14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46" t="s">
        <v>15</v>
      </c>
      <c r="B242" s="415">
        <f>B247</f>
        <v>1.0300000000000001E-3</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46" t="s">
        <v>16</v>
      </c>
      <c r="B243" s="188" t="s">
        <v>17</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46" t="s">
        <v>18</v>
      </c>
      <c r="B244" s="188" t="s">
        <v>609</v>
      </c>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43" t="s">
        <v>19</v>
      </c>
      <c r="B245" s="188"/>
      <c r="C245" s="188"/>
      <c r="D245" s="188"/>
      <c r="E245" s="188"/>
      <c r="F245" s="188"/>
      <c r="G245" s="188"/>
      <c r="H245" s="188"/>
      <c r="I245" s="188"/>
      <c r="J245" s="188"/>
      <c r="K245" s="188"/>
      <c r="L245" s="188"/>
      <c r="M245" s="188"/>
      <c r="N245" s="188"/>
      <c r="O245" s="188"/>
      <c r="P245" s="188"/>
      <c r="Q245" s="188"/>
      <c r="R245" s="188"/>
      <c r="S245" s="188"/>
      <c r="T245" s="188"/>
      <c r="U245" s="188"/>
    </row>
    <row r="246" spans="1:21">
      <c r="A246" s="344" t="s">
        <v>20</v>
      </c>
      <c r="B246" s="344" t="s">
        <v>21</v>
      </c>
      <c r="C246" s="344" t="s">
        <v>18</v>
      </c>
      <c r="D246" s="344" t="s">
        <v>22</v>
      </c>
      <c r="E246" s="344" t="s">
        <v>7</v>
      </c>
      <c r="F246" s="344" t="s">
        <v>13</v>
      </c>
      <c r="G246" s="344" t="s">
        <v>16</v>
      </c>
      <c r="H246" s="344" t="s">
        <v>23</v>
      </c>
      <c r="I246" s="344" t="s">
        <v>24</v>
      </c>
      <c r="J246" s="344" t="s">
        <v>25</v>
      </c>
      <c r="K246" s="344" t="s">
        <v>26</v>
      </c>
      <c r="L246" s="344" t="s">
        <v>27</v>
      </c>
      <c r="M246" s="344" t="s">
        <v>28</v>
      </c>
      <c r="N246" s="344" t="s">
        <v>11</v>
      </c>
      <c r="O246" s="188"/>
      <c r="P246" s="188"/>
      <c r="Q246" s="188"/>
      <c r="R246" s="188"/>
      <c r="S246" s="188"/>
      <c r="T246" s="188"/>
      <c r="U246" s="188"/>
    </row>
    <row r="247" spans="1:21">
      <c r="A247" s="188" t="s">
        <v>945</v>
      </c>
      <c r="B247" s="415">
        <f>B248</f>
        <v>1.0300000000000001E-3</v>
      </c>
      <c r="C247" s="188" t="s">
        <v>609</v>
      </c>
      <c r="D247" s="408" t="s">
        <v>2</v>
      </c>
      <c r="E247" s="188" t="s">
        <v>29</v>
      </c>
      <c r="F247" s="37" t="s">
        <v>14</v>
      </c>
      <c r="G247" s="188" t="s">
        <v>30</v>
      </c>
      <c r="H247" s="188">
        <v>1</v>
      </c>
      <c r="I247" s="188">
        <f>B247</f>
        <v>1.0300000000000001E-3</v>
      </c>
      <c r="J247" s="188" t="s">
        <v>31</v>
      </c>
      <c r="K247" s="188" t="s">
        <v>31</v>
      </c>
      <c r="L247" s="188" t="s">
        <v>31</v>
      </c>
      <c r="M247" s="188" t="s">
        <v>31</v>
      </c>
      <c r="N247" s="188"/>
      <c r="O247" s="188"/>
      <c r="P247" s="188"/>
      <c r="Q247" s="188"/>
      <c r="R247" s="188"/>
      <c r="S247" s="188"/>
      <c r="T247" s="188"/>
      <c r="U247" s="188"/>
    </row>
    <row r="248" spans="1:21">
      <c r="A248" s="37" t="s">
        <v>947</v>
      </c>
      <c r="B248" s="415">
        <f>R248</f>
        <v>1.0300000000000001E-3</v>
      </c>
      <c r="C248" s="188" t="s">
        <v>609</v>
      </c>
      <c r="D248" s="188" t="s">
        <v>40</v>
      </c>
      <c r="E248" s="188" t="s">
        <v>29</v>
      </c>
      <c r="F248" s="188" t="s">
        <v>59</v>
      </c>
      <c r="G248" s="188" t="s">
        <v>33</v>
      </c>
      <c r="H248" s="188">
        <v>2</v>
      </c>
      <c r="I248" s="188">
        <f>LN(B248)</f>
        <v>-6.8781964767405928</v>
      </c>
      <c r="J248" s="188">
        <v>3.7749172176353707E-2</v>
      </c>
      <c r="K248" s="188" t="s">
        <v>31</v>
      </c>
      <c r="L248" s="188" t="s">
        <v>31</v>
      </c>
      <c r="M248" s="188" t="s">
        <v>31</v>
      </c>
      <c r="O248" s="188" t="s">
        <v>948</v>
      </c>
      <c r="P248" s="114">
        <v>10.3</v>
      </c>
      <c r="Q248" s="188" t="s">
        <v>610</v>
      </c>
      <c r="R248" s="188">
        <f>P248*0.0001</f>
        <v>1.0300000000000001E-3</v>
      </c>
      <c r="S248" s="188"/>
      <c r="T248" s="188"/>
      <c r="U248" s="188"/>
    </row>
    <row r="249" spans="1:21" s="70" customFormat="1">
      <c r="A249" s="370" t="s">
        <v>5</v>
      </c>
      <c r="B249" s="371" t="s">
        <v>944</v>
      </c>
      <c r="C249" s="353"/>
      <c r="D249" s="353"/>
      <c r="E249" s="353"/>
      <c r="F249" s="353"/>
      <c r="G249" s="353"/>
      <c r="H249" s="353"/>
      <c r="I249" s="353"/>
      <c r="J249" s="353"/>
      <c r="K249" s="353"/>
      <c r="L249" s="353"/>
      <c r="M249" s="353"/>
      <c r="N249" s="353"/>
      <c r="O249" s="353"/>
      <c r="P249" s="353"/>
      <c r="Q249" s="353"/>
      <c r="R249" s="353"/>
      <c r="S249" s="353"/>
      <c r="T249" s="353"/>
      <c r="U249" s="353"/>
    </row>
    <row r="250" spans="1:21">
      <c r="A250" s="346" t="s">
        <v>7</v>
      </c>
      <c r="B250" s="188" t="s">
        <v>786</v>
      </c>
      <c r="C250" s="345"/>
      <c r="D250" s="188"/>
      <c r="E250" s="188"/>
      <c r="F250" s="188"/>
      <c r="G250" s="188"/>
      <c r="H250" s="188"/>
      <c r="I250" s="188"/>
      <c r="J250" s="188"/>
      <c r="K250" s="188"/>
      <c r="L250" s="188"/>
      <c r="M250" s="188"/>
      <c r="N250" s="188"/>
      <c r="O250" s="188"/>
      <c r="P250" s="188"/>
      <c r="Q250" s="188"/>
      <c r="R250" s="188"/>
      <c r="S250" s="188"/>
      <c r="T250" s="188"/>
      <c r="U250" s="188"/>
    </row>
    <row r="251" spans="1:21">
      <c r="A251" s="424" t="s">
        <v>9</v>
      </c>
      <c r="B251" s="188" t="s">
        <v>949</v>
      </c>
      <c r="C251" s="345"/>
      <c r="D251" s="188"/>
      <c r="E251" s="188"/>
      <c r="F251" s="188"/>
      <c r="G251" s="188"/>
      <c r="H251" s="188"/>
      <c r="I251" s="188"/>
      <c r="J251" s="188"/>
      <c r="K251" s="188"/>
      <c r="L251" s="188"/>
      <c r="M251" s="188"/>
      <c r="N251" s="188"/>
      <c r="O251" s="188"/>
      <c r="P251" s="188"/>
      <c r="Q251" s="188"/>
      <c r="R251" s="188"/>
      <c r="S251" s="188"/>
      <c r="T251" s="188"/>
      <c r="U251" s="188"/>
    </row>
    <row r="252" spans="1:21" ht="15.75" customHeight="1">
      <c r="A252" s="346" t="s">
        <v>11</v>
      </c>
      <c r="B252" s="347" t="s">
        <v>796</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46" t="s">
        <v>13</v>
      </c>
      <c r="B253" s="188" t="s">
        <v>14</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46" t="s">
        <v>15</v>
      </c>
      <c r="B254" s="415">
        <f>B259</f>
        <v>6.0000000000000001E-3</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46" t="s">
        <v>16</v>
      </c>
      <c r="B255" s="188" t="s">
        <v>17</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46" t="s">
        <v>18</v>
      </c>
      <c r="B256" s="188" t="s">
        <v>609</v>
      </c>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43" t="s">
        <v>19</v>
      </c>
      <c r="B257" s="188"/>
      <c r="C257" s="188"/>
      <c r="D257" s="188"/>
      <c r="E257" s="188"/>
      <c r="F257" s="188"/>
      <c r="G257" s="188"/>
      <c r="H257" s="188"/>
      <c r="I257" s="188"/>
      <c r="J257" s="188"/>
      <c r="K257" s="188"/>
      <c r="L257" s="188"/>
      <c r="M257" s="188"/>
      <c r="N257" s="188"/>
      <c r="O257" s="188"/>
      <c r="P257" s="188"/>
      <c r="Q257" s="188"/>
      <c r="R257" s="188"/>
      <c r="S257" s="188"/>
      <c r="T257" s="188"/>
      <c r="U257" s="188"/>
    </row>
    <row r="258" spans="1:21">
      <c r="A258" s="344" t="s">
        <v>20</v>
      </c>
      <c r="B258" s="344" t="s">
        <v>21</v>
      </c>
      <c r="C258" s="344" t="s">
        <v>18</v>
      </c>
      <c r="D258" s="344" t="s">
        <v>22</v>
      </c>
      <c r="E258" s="344" t="s">
        <v>7</v>
      </c>
      <c r="F258" s="344" t="s">
        <v>13</v>
      </c>
      <c r="G258" s="344" t="s">
        <v>16</v>
      </c>
      <c r="H258" s="344" t="s">
        <v>23</v>
      </c>
      <c r="I258" s="344" t="s">
        <v>24</v>
      </c>
      <c r="J258" s="344" t="s">
        <v>25</v>
      </c>
      <c r="K258" s="344" t="s">
        <v>26</v>
      </c>
      <c r="L258" s="344" t="s">
        <v>27</v>
      </c>
      <c r="M258" s="344" t="s">
        <v>28</v>
      </c>
      <c r="N258" s="344" t="s">
        <v>11</v>
      </c>
      <c r="O258" s="188"/>
      <c r="P258" s="188"/>
      <c r="Q258" s="188"/>
      <c r="R258" s="188"/>
      <c r="S258" s="188"/>
      <c r="T258" s="188"/>
      <c r="U258" s="188"/>
    </row>
    <row r="259" spans="1:21">
      <c r="A259" s="188" t="s">
        <v>944</v>
      </c>
      <c r="B259" s="415">
        <f>B271</f>
        <v>6.0000000000000001E-3</v>
      </c>
      <c r="C259" s="188" t="s">
        <v>609</v>
      </c>
      <c r="D259" s="408" t="s">
        <v>2</v>
      </c>
      <c r="E259" s="188" t="s">
        <v>29</v>
      </c>
      <c r="F259" s="37" t="s">
        <v>14</v>
      </c>
      <c r="G259" s="188" t="s">
        <v>30</v>
      </c>
      <c r="H259" s="188">
        <v>1</v>
      </c>
      <c r="I259" s="188">
        <f t="shared" ref="I259:I260" si="31">B259</f>
        <v>6.0000000000000001E-3</v>
      </c>
      <c r="J259" s="188" t="s">
        <v>31</v>
      </c>
      <c r="K259" s="188" t="s">
        <v>31</v>
      </c>
      <c r="L259" s="188" t="s">
        <v>31</v>
      </c>
      <c r="M259" s="188" t="s">
        <v>31</v>
      </c>
      <c r="N259" s="188"/>
      <c r="O259" s="188"/>
      <c r="P259" s="188"/>
      <c r="Q259" s="188"/>
      <c r="R259" s="188"/>
      <c r="S259" s="188"/>
      <c r="T259" s="188"/>
      <c r="U259" s="188"/>
    </row>
    <row r="260" spans="1:21">
      <c r="A260" s="188" t="s">
        <v>950</v>
      </c>
      <c r="B260" s="415">
        <f>B271</f>
        <v>6.0000000000000001E-3</v>
      </c>
      <c r="C260" s="188" t="s">
        <v>609</v>
      </c>
      <c r="D260" s="408" t="s">
        <v>2</v>
      </c>
      <c r="E260" s="188" t="s">
        <v>29</v>
      </c>
      <c r="F260" s="188" t="s">
        <v>14</v>
      </c>
      <c r="G260" s="188" t="s">
        <v>33</v>
      </c>
      <c r="H260" s="188">
        <v>1</v>
      </c>
      <c r="I260" s="188">
        <f t="shared" si="31"/>
        <v>6.0000000000000001E-3</v>
      </c>
      <c r="J260" s="188" t="s">
        <v>31</v>
      </c>
      <c r="K260" s="188" t="s">
        <v>31</v>
      </c>
      <c r="L260" s="188" t="s">
        <v>31</v>
      </c>
      <c r="M260" s="188" t="s">
        <v>31</v>
      </c>
      <c r="N260" s="188"/>
      <c r="O260" s="188"/>
      <c r="P260" s="188"/>
      <c r="Q260" s="188"/>
      <c r="R260" s="188"/>
      <c r="S260" s="188"/>
      <c r="T260" s="188"/>
      <c r="U260" s="188"/>
    </row>
    <row r="261" spans="1:21">
      <c r="A261" s="346" t="s">
        <v>269</v>
      </c>
      <c r="B261" s="350">
        <f>R261</f>
        <v>0.05</v>
      </c>
      <c r="C261" s="188" t="s">
        <v>39</v>
      </c>
      <c r="D261" s="188" t="s">
        <v>40</v>
      </c>
      <c r="E261" s="188" t="s">
        <v>29</v>
      </c>
      <c r="F261" s="37" t="s">
        <v>35</v>
      </c>
      <c r="G261" s="188" t="s">
        <v>33</v>
      </c>
      <c r="H261" s="188">
        <v>2</v>
      </c>
      <c r="I261" s="188">
        <f t="shared" ref="I261:I265" si="32">LN(B261)</f>
        <v>-2.9957322735539909</v>
      </c>
      <c r="J261" s="188">
        <v>0.20928449536456342</v>
      </c>
      <c r="K261" s="188" t="s">
        <v>31</v>
      </c>
      <c r="L261" s="188" t="s">
        <v>31</v>
      </c>
      <c r="M261" s="188" t="s">
        <v>31</v>
      </c>
      <c r="N261" s="188"/>
      <c r="O261" s="383" t="s">
        <v>248</v>
      </c>
      <c r="P261" s="114">
        <v>0.05</v>
      </c>
      <c r="Q261" s="188" t="s">
        <v>248</v>
      </c>
      <c r="R261" s="350">
        <f>P261</f>
        <v>0.05</v>
      </c>
      <c r="S261" s="188"/>
      <c r="T261" s="188"/>
      <c r="U261" s="188"/>
    </row>
    <row r="262" spans="1:21">
      <c r="A262" s="37" t="s">
        <v>798</v>
      </c>
      <c r="B262" s="188">
        <f>R262</f>
        <v>1.6999999999999999E-3</v>
      </c>
      <c r="C262" s="188" t="s">
        <v>37</v>
      </c>
      <c r="D262" s="188" t="s">
        <v>40</v>
      </c>
      <c r="E262" s="188" t="s">
        <v>29</v>
      </c>
      <c r="F262" s="37" t="s">
        <v>35</v>
      </c>
      <c r="G262" s="188" t="s">
        <v>33</v>
      </c>
      <c r="H262" s="188">
        <v>2</v>
      </c>
      <c r="I262" s="188">
        <f t="shared" si="32"/>
        <v>-6.3771270279199666</v>
      </c>
      <c r="J262" s="188">
        <v>0.20928449536456342</v>
      </c>
      <c r="K262" s="188" t="s">
        <v>31</v>
      </c>
      <c r="L262" s="188" t="s">
        <v>31</v>
      </c>
      <c r="M262" s="188" t="s">
        <v>31</v>
      </c>
      <c r="N262" s="188"/>
      <c r="O262" s="401" t="s">
        <v>580</v>
      </c>
      <c r="P262" s="114">
        <v>1.7</v>
      </c>
      <c r="Q262" s="188" t="s">
        <v>241</v>
      </c>
      <c r="R262" s="188">
        <f>0.001*P262</f>
        <v>1.6999999999999999E-3</v>
      </c>
      <c r="S262" s="188"/>
      <c r="T262" s="188"/>
      <c r="U262" s="188"/>
    </row>
    <row r="263" spans="1:21">
      <c r="A263" s="37" t="s">
        <v>308</v>
      </c>
      <c r="B263" s="188">
        <f>R263</f>
        <v>2.9999999999999997E-4</v>
      </c>
      <c r="C263" s="188" t="s">
        <v>37</v>
      </c>
      <c r="D263" s="188" t="s">
        <v>40</v>
      </c>
      <c r="E263" s="188" t="s">
        <v>29</v>
      </c>
      <c r="F263" s="37" t="s">
        <v>59</v>
      </c>
      <c r="G263" s="188" t="s">
        <v>33</v>
      </c>
      <c r="H263" s="188">
        <v>2</v>
      </c>
      <c r="I263" s="188">
        <f t="shared" si="32"/>
        <v>-8.1117280833080727</v>
      </c>
      <c r="J263" s="188">
        <v>0.20928449536456342</v>
      </c>
      <c r="K263" s="188" t="s">
        <v>31</v>
      </c>
      <c r="L263" s="188" t="s">
        <v>31</v>
      </c>
      <c r="M263" s="188" t="s">
        <v>31</v>
      </c>
      <c r="N263" s="188"/>
      <c r="O263" s="401" t="s">
        <v>580</v>
      </c>
      <c r="P263" s="114">
        <v>0.3</v>
      </c>
      <c r="Q263" s="188" t="s">
        <v>241</v>
      </c>
      <c r="R263" s="188">
        <f t="shared" ref="R263:R265" si="33">0.001*P263</f>
        <v>2.9999999999999997E-4</v>
      </c>
      <c r="S263" s="188"/>
      <c r="T263" s="188"/>
      <c r="U263" s="188"/>
    </row>
    <row r="264" spans="1:21">
      <c r="A264" s="346" t="s">
        <v>799</v>
      </c>
      <c r="B264" s="188">
        <f>R264</f>
        <v>8.0999999999999996E-3</v>
      </c>
      <c r="C264" s="188" t="s">
        <v>37</v>
      </c>
      <c r="D264" s="188" t="s">
        <v>40</v>
      </c>
      <c r="E264" s="188" t="s">
        <v>29</v>
      </c>
      <c r="F264" s="37" t="s">
        <v>74</v>
      </c>
      <c r="G264" s="188" t="s">
        <v>33</v>
      </c>
      <c r="H264" s="188">
        <v>2</v>
      </c>
      <c r="I264" s="188">
        <f t="shared" si="32"/>
        <v>-4.8158912173037436</v>
      </c>
      <c r="J264" s="188">
        <v>0.20928449536456342</v>
      </c>
      <c r="K264" s="188" t="s">
        <v>31</v>
      </c>
      <c r="L264" s="188" t="s">
        <v>31</v>
      </c>
      <c r="M264" s="188" t="s">
        <v>31</v>
      </c>
      <c r="N264" s="188"/>
      <c r="O264" s="401" t="s">
        <v>580</v>
      </c>
      <c r="P264" s="114">
        <v>8.1</v>
      </c>
      <c r="Q264" s="188" t="s">
        <v>241</v>
      </c>
      <c r="R264" s="188">
        <f t="shared" si="33"/>
        <v>8.0999999999999996E-3</v>
      </c>
      <c r="S264" s="188"/>
      <c r="T264" s="188"/>
      <c r="U264" s="188"/>
    </row>
    <row r="265" spans="1:21">
      <c r="A265" s="188" t="s">
        <v>784</v>
      </c>
      <c r="B265" s="188">
        <f>R265</f>
        <v>1.9E-3</v>
      </c>
      <c r="C265" s="188" t="s">
        <v>37</v>
      </c>
      <c r="D265" s="408" t="s">
        <v>2</v>
      </c>
      <c r="E265" s="188" t="s">
        <v>29</v>
      </c>
      <c r="F265" s="37" t="s">
        <v>74</v>
      </c>
      <c r="G265" s="188" t="s">
        <v>33</v>
      </c>
      <c r="H265" s="188">
        <v>2</v>
      </c>
      <c r="I265" s="188">
        <f t="shared" si="32"/>
        <v>-6.2659013928097425</v>
      </c>
      <c r="J265" s="188">
        <v>0.20928449536456342</v>
      </c>
      <c r="K265" s="188" t="s">
        <v>31</v>
      </c>
      <c r="L265" s="188" t="s">
        <v>31</v>
      </c>
      <c r="M265" s="188" t="s">
        <v>31</v>
      </c>
      <c r="N265" s="188"/>
      <c r="O265" s="447" t="s">
        <v>580</v>
      </c>
      <c r="P265" s="119">
        <v>1.9</v>
      </c>
      <c r="Q265" s="188" t="s">
        <v>241</v>
      </c>
      <c r="R265" s="188">
        <f t="shared" si="33"/>
        <v>1.9E-3</v>
      </c>
      <c r="S265" s="188"/>
      <c r="T265" s="188"/>
      <c r="U265" s="188"/>
    </row>
    <row r="266" spans="1:21" s="70" customFormat="1">
      <c r="A266" s="370" t="s">
        <v>5</v>
      </c>
      <c r="B266" s="371" t="s">
        <v>950</v>
      </c>
      <c r="C266" s="353"/>
      <c r="D266" s="353"/>
      <c r="E266" s="353"/>
      <c r="F266" s="353"/>
      <c r="G266" s="353"/>
      <c r="H266" s="353"/>
      <c r="I266" s="353"/>
      <c r="J266" s="353"/>
      <c r="K266" s="353"/>
      <c r="L266" s="353"/>
      <c r="M266" s="353"/>
      <c r="N266" s="353"/>
      <c r="O266" s="353"/>
      <c r="P266" s="353"/>
      <c r="Q266" s="353"/>
      <c r="R266" s="353"/>
      <c r="S266" s="353"/>
      <c r="T266" s="353"/>
      <c r="U266" s="353"/>
    </row>
    <row r="267" spans="1:21">
      <c r="A267" s="346" t="s">
        <v>7</v>
      </c>
      <c r="B267" s="188" t="s">
        <v>786</v>
      </c>
      <c r="C267" s="345"/>
      <c r="D267" s="188"/>
      <c r="E267" s="188"/>
      <c r="F267" s="188"/>
      <c r="G267" s="188"/>
      <c r="H267" s="188"/>
      <c r="I267" s="188"/>
      <c r="J267" s="188"/>
      <c r="K267" s="188"/>
      <c r="L267" s="188"/>
      <c r="M267" s="188"/>
      <c r="N267" s="188"/>
      <c r="O267" s="188"/>
      <c r="P267" s="188"/>
      <c r="Q267" s="188"/>
      <c r="R267" s="188"/>
      <c r="S267" s="188"/>
      <c r="T267" s="188"/>
      <c r="U267" s="188"/>
    </row>
    <row r="268" spans="1:21">
      <c r="A268" s="424" t="s">
        <v>9</v>
      </c>
      <c r="B268" s="188" t="s">
        <v>951</v>
      </c>
      <c r="C268" s="345"/>
      <c r="D268" s="188"/>
      <c r="E268" s="188"/>
      <c r="F268" s="188"/>
      <c r="G268" s="188"/>
      <c r="H268" s="188"/>
      <c r="I268" s="188"/>
      <c r="J268" s="188"/>
      <c r="K268" s="188"/>
      <c r="L268" s="188"/>
      <c r="M268" s="188"/>
      <c r="N268" s="188"/>
      <c r="O268" s="188"/>
      <c r="P268" s="188"/>
      <c r="Q268" s="188"/>
      <c r="R268" s="188"/>
      <c r="S268" s="188"/>
      <c r="T268" s="188"/>
      <c r="U268" s="188"/>
    </row>
    <row r="269" spans="1:21" ht="15.75" customHeight="1">
      <c r="A269" s="346" t="s">
        <v>11</v>
      </c>
      <c r="B269" s="347" t="s">
        <v>796</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46" t="s">
        <v>13</v>
      </c>
      <c r="B270" s="188" t="s">
        <v>14</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46" t="s">
        <v>15</v>
      </c>
      <c r="B271" s="415">
        <f>B276</f>
        <v>6.0000000000000001E-3</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46" t="s">
        <v>16</v>
      </c>
      <c r="B272" s="188" t="s">
        <v>17</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46" t="s">
        <v>18</v>
      </c>
      <c r="B273" s="188" t="s">
        <v>609</v>
      </c>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43" t="s">
        <v>19</v>
      </c>
      <c r="B274" s="188"/>
      <c r="C274" s="188"/>
      <c r="D274" s="188"/>
      <c r="E274" s="188"/>
      <c r="F274" s="188"/>
      <c r="G274" s="188"/>
      <c r="H274" s="188"/>
      <c r="I274" s="188"/>
      <c r="J274" s="188"/>
      <c r="K274" s="188"/>
      <c r="L274" s="188"/>
      <c r="M274" s="188"/>
      <c r="N274" s="188"/>
      <c r="O274" s="188"/>
      <c r="P274" s="188"/>
      <c r="Q274" s="188"/>
      <c r="R274" s="188"/>
      <c r="S274" s="188"/>
      <c r="T274" s="188"/>
      <c r="U274" s="188"/>
    </row>
    <row r="275" spans="1:21">
      <c r="A275" s="344" t="s">
        <v>20</v>
      </c>
      <c r="B275" s="344" t="s">
        <v>21</v>
      </c>
      <c r="C275" s="344" t="s">
        <v>18</v>
      </c>
      <c r="D275" s="344" t="s">
        <v>22</v>
      </c>
      <c r="E275" s="344" t="s">
        <v>7</v>
      </c>
      <c r="F275" s="344" t="s">
        <v>13</v>
      </c>
      <c r="G275" s="344" t="s">
        <v>16</v>
      </c>
      <c r="H275" s="344" t="s">
        <v>23</v>
      </c>
      <c r="I275" s="344" t="s">
        <v>24</v>
      </c>
      <c r="J275" s="344" t="s">
        <v>25</v>
      </c>
      <c r="K275" s="344" t="s">
        <v>26</v>
      </c>
      <c r="L275" s="344" t="s">
        <v>27</v>
      </c>
      <c r="M275" s="344" t="s">
        <v>28</v>
      </c>
      <c r="N275" s="344" t="s">
        <v>11</v>
      </c>
      <c r="O275" s="188"/>
      <c r="P275" s="188"/>
      <c r="Q275" s="188"/>
      <c r="R275" s="188"/>
      <c r="S275" s="188"/>
      <c r="T275" s="188"/>
      <c r="U275" s="188"/>
    </row>
    <row r="276" spans="1:21">
      <c r="A276" s="188" t="s">
        <v>950</v>
      </c>
      <c r="B276" s="415">
        <f>B303</f>
        <v>6.0000000000000001E-3</v>
      </c>
      <c r="C276" s="188" t="s">
        <v>609</v>
      </c>
      <c r="D276" s="408" t="s">
        <v>2</v>
      </c>
      <c r="E276" s="188" t="s">
        <v>29</v>
      </c>
      <c r="F276" s="188" t="s">
        <v>14</v>
      </c>
      <c r="G276" s="188" t="s">
        <v>30</v>
      </c>
      <c r="H276" s="188">
        <v>1</v>
      </c>
      <c r="I276" s="188">
        <f t="shared" ref="I276:I277" si="34">B276</f>
        <v>6.0000000000000001E-3</v>
      </c>
      <c r="J276" s="188" t="s">
        <v>31</v>
      </c>
      <c r="K276" s="188" t="s">
        <v>31</v>
      </c>
      <c r="L276" s="188" t="s">
        <v>31</v>
      </c>
      <c r="M276" s="188" t="s">
        <v>31</v>
      </c>
      <c r="N276" s="188"/>
      <c r="O276" s="188"/>
      <c r="P276" s="188"/>
      <c r="Q276" s="188"/>
      <c r="R276" s="188"/>
      <c r="S276" s="188"/>
      <c r="T276" s="188"/>
      <c r="U276" s="188"/>
    </row>
    <row r="277" spans="1:21">
      <c r="A277" s="188" t="s">
        <v>952</v>
      </c>
      <c r="B277" s="415">
        <f>B303</f>
        <v>6.0000000000000001E-3</v>
      </c>
      <c r="C277" s="188" t="s">
        <v>609</v>
      </c>
      <c r="D277" s="408" t="s">
        <v>2</v>
      </c>
      <c r="E277" s="188" t="s">
        <v>29</v>
      </c>
      <c r="F277" s="188" t="s">
        <v>14</v>
      </c>
      <c r="G277" s="188" t="s">
        <v>33</v>
      </c>
      <c r="H277" s="188">
        <v>1</v>
      </c>
      <c r="I277" s="188">
        <f t="shared" si="34"/>
        <v>6.0000000000000001E-3</v>
      </c>
      <c r="J277" s="188" t="s">
        <v>31</v>
      </c>
      <c r="K277" s="188" t="s">
        <v>31</v>
      </c>
      <c r="L277" s="188" t="s">
        <v>31</v>
      </c>
      <c r="M277" s="188" t="s">
        <v>31</v>
      </c>
      <c r="N277" s="188"/>
      <c r="O277" s="188"/>
      <c r="P277" s="188"/>
      <c r="Q277" s="188"/>
      <c r="R277" s="188"/>
      <c r="S277" s="188"/>
      <c r="T277" s="188"/>
      <c r="U277" s="188"/>
    </row>
    <row r="278" spans="1:21">
      <c r="A278" s="346" t="s">
        <v>269</v>
      </c>
      <c r="B278" s="350">
        <f>P278</f>
        <v>1.1499999999999999</v>
      </c>
      <c r="C278" s="188" t="s">
        <v>39</v>
      </c>
      <c r="D278" s="188" t="s">
        <v>40</v>
      </c>
      <c r="E278" s="188" t="s">
        <v>29</v>
      </c>
      <c r="F278" s="37" t="s">
        <v>35</v>
      </c>
      <c r="G278" s="188" t="s">
        <v>33</v>
      </c>
      <c r="H278" s="188">
        <v>2</v>
      </c>
      <c r="I278" s="188">
        <f t="shared" ref="I278:I279" si="35">LN(B278)</f>
        <v>0.13976194237515863</v>
      </c>
      <c r="J278" s="188">
        <v>0.20928449536456342</v>
      </c>
      <c r="K278" s="188" t="s">
        <v>31</v>
      </c>
      <c r="L278" s="188" t="s">
        <v>31</v>
      </c>
      <c r="M278" s="188" t="s">
        <v>31</v>
      </c>
      <c r="N278" s="188"/>
      <c r="O278" s="401" t="s">
        <v>248</v>
      </c>
      <c r="P278" s="414">
        <f>0.79+0.36</f>
        <v>1.1499999999999999</v>
      </c>
      <c r="Q278" s="188"/>
      <c r="R278" s="188"/>
      <c r="S278" s="188"/>
      <c r="T278" s="188"/>
      <c r="U278" s="188"/>
    </row>
    <row r="279" spans="1:21">
      <c r="A279" s="346" t="s">
        <v>799</v>
      </c>
      <c r="B279" s="188">
        <f>R279</f>
        <v>2.3E-3</v>
      </c>
      <c r="C279" s="188" t="s">
        <v>37</v>
      </c>
      <c r="D279" s="188" t="s">
        <v>40</v>
      </c>
      <c r="E279" s="188" t="s">
        <v>29</v>
      </c>
      <c r="F279" s="37" t="s">
        <v>74</v>
      </c>
      <c r="G279" s="188" t="s">
        <v>33</v>
      </c>
      <c r="H279" s="188">
        <v>2</v>
      </c>
      <c r="I279" s="188">
        <f t="shared" si="35"/>
        <v>-6.074846156047033</v>
      </c>
      <c r="J279" s="188">
        <v>0.20928449536456342</v>
      </c>
      <c r="K279" s="188" t="s">
        <v>31</v>
      </c>
      <c r="L279" s="188" t="s">
        <v>31</v>
      </c>
      <c r="M279" s="188" t="s">
        <v>31</v>
      </c>
      <c r="N279" s="188"/>
      <c r="O279" s="401" t="s">
        <v>580</v>
      </c>
      <c r="P279" s="114">
        <v>2.2999999999999998</v>
      </c>
      <c r="Q279" s="188" t="s">
        <v>241</v>
      </c>
      <c r="R279" s="188">
        <f>P279*0.001</f>
        <v>2.3E-3</v>
      </c>
      <c r="S279" s="188"/>
      <c r="T279" s="188"/>
      <c r="U279" s="188"/>
    </row>
    <row r="280" spans="1:21">
      <c r="A280" s="37" t="s">
        <v>545</v>
      </c>
      <c r="B280" s="188">
        <f>R280</f>
        <v>2.8E-3</v>
      </c>
      <c r="C280" s="188" t="s">
        <v>37</v>
      </c>
      <c r="D280" s="188" t="s">
        <v>40</v>
      </c>
      <c r="E280" s="188" t="s">
        <v>29</v>
      </c>
      <c r="F280" s="188" t="s">
        <v>35</v>
      </c>
      <c r="G280" s="188" t="s">
        <v>33</v>
      </c>
      <c r="H280" s="188">
        <v>2</v>
      </c>
      <c r="I280" s="188">
        <f>LN(B280)</f>
        <v>-5.8781358618009785</v>
      </c>
      <c r="J280" s="188">
        <v>0.20928449536456342</v>
      </c>
      <c r="K280" s="188" t="s">
        <v>31</v>
      </c>
      <c r="L280" s="188" t="s">
        <v>31</v>
      </c>
      <c r="M280" s="188" t="s">
        <v>31</v>
      </c>
      <c r="N280" s="188"/>
      <c r="O280" s="401" t="s">
        <v>580</v>
      </c>
      <c r="P280" s="114">
        <v>2.8</v>
      </c>
      <c r="Q280" s="188" t="s">
        <v>241</v>
      </c>
      <c r="R280" s="188">
        <f>P280*0.001</f>
        <v>2.8E-3</v>
      </c>
      <c r="S280" s="188"/>
      <c r="T280" s="188"/>
      <c r="U280" s="188"/>
    </row>
    <row r="281" spans="1:21">
      <c r="A281" s="188" t="s">
        <v>784</v>
      </c>
      <c r="B281" s="188">
        <f>R281</f>
        <v>2.8E-3</v>
      </c>
      <c r="C281" s="188" t="s">
        <v>37</v>
      </c>
      <c r="D281" s="408" t="s">
        <v>2</v>
      </c>
      <c r="E281" s="188" t="s">
        <v>29</v>
      </c>
      <c r="F281" s="37" t="s">
        <v>74</v>
      </c>
      <c r="G281" s="188" t="s">
        <v>33</v>
      </c>
      <c r="H281" s="188">
        <v>2</v>
      </c>
      <c r="I281" s="188">
        <f t="shared" ref="I281" si="36">LN(B281)</f>
        <v>-5.8781358618009785</v>
      </c>
      <c r="J281" s="188">
        <v>0.20928449536456342</v>
      </c>
      <c r="K281" s="188" t="s">
        <v>31</v>
      </c>
      <c r="L281" s="188" t="s">
        <v>31</v>
      </c>
      <c r="M281" s="188" t="s">
        <v>31</v>
      </c>
      <c r="N281" s="188"/>
      <c r="O281" s="447" t="s">
        <v>580</v>
      </c>
      <c r="P281" s="119">
        <v>2.8</v>
      </c>
      <c r="Q281" s="188" t="s">
        <v>241</v>
      </c>
      <c r="R281" s="188">
        <f t="shared" ref="R281" si="37">0.001*P281</f>
        <v>2.8E-3</v>
      </c>
      <c r="S281" s="188"/>
      <c r="T281" s="188"/>
      <c r="U281" s="188"/>
    </row>
    <row r="282" spans="1:21" s="70" customFormat="1">
      <c r="A282" s="370" t="s">
        <v>5</v>
      </c>
      <c r="B282" s="371" t="s">
        <v>952</v>
      </c>
      <c r="C282" s="353"/>
      <c r="D282" s="353"/>
      <c r="E282" s="353"/>
      <c r="F282" s="353"/>
      <c r="G282" s="353"/>
      <c r="H282" s="353"/>
      <c r="I282" s="353"/>
      <c r="J282" s="353"/>
      <c r="K282" s="353"/>
      <c r="L282" s="353"/>
      <c r="M282" s="353"/>
      <c r="N282" s="353"/>
      <c r="O282" s="353"/>
      <c r="P282" s="353"/>
      <c r="Q282" s="353"/>
      <c r="R282" s="353"/>
      <c r="S282" s="353"/>
      <c r="T282" s="353"/>
      <c r="U282" s="353"/>
    </row>
    <row r="283" spans="1:21">
      <c r="A283" s="346" t="s">
        <v>7</v>
      </c>
      <c r="B283" s="188" t="s">
        <v>786</v>
      </c>
      <c r="C283" s="345"/>
      <c r="D283" s="188"/>
      <c r="E283" s="188"/>
      <c r="F283" s="188"/>
      <c r="G283" s="188"/>
      <c r="H283" s="188"/>
      <c r="I283" s="188"/>
      <c r="J283" s="188"/>
      <c r="K283" s="188"/>
      <c r="L283" s="188"/>
      <c r="M283" s="188"/>
      <c r="N283" s="188"/>
      <c r="O283" s="188"/>
      <c r="P283" s="188"/>
      <c r="Q283" s="188"/>
      <c r="R283" s="188"/>
      <c r="S283" s="188"/>
      <c r="T283" s="188"/>
      <c r="U283" s="188"/>
    </row>
    <row r="284" spans="1:21">
      <c r="A284" s="424" t="s">
        <v>9</v>
      </c>
      <c r="B284" s="188" t="s">
        <v>953</v>
      </c>
      <c r="C284" s="345"/>
      <c r="D284" s="188"/>
      <c r="E284" s="188"/>
      <c r="F284" s="188"/>
      <c r="G284" s="188"/>
      <c r="H284" s="188"/>
      <c r="I284" s="188"/>
      <c r="J284" s="188"/>
      <c r="K284" s="188"/>
      <c r="L284" s="188"/>
      <c r="M284" s="188"/>
      <c r="N284" s="188"/>
      <c r="O284" s="188"/>
      <c r="P284" s="188"/>
      <c r="Q284" s="188"/>
      <c r="R284" s="188"/>
      <c r="S284" s="188"/>
      <c r="T284" s="188"/>
      <c r="U284" s="188"/>
    </row>
    <row r="285" spans="1:21" ht="15.75" customHeight="1">
      <c r="A285" s="346" t="s">
        <v>11</v>
      </c>
      <c r="B285" s="347" t="s">
        <v>796</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46" t="s">
        <v>13</v>
      </c>
      <c r="B286" s="188" t="s">
        <v>14</v>
      </c>
      <c r="C286" s="188"/>
      <c r="D286" s="188"/>
      <c r="E286" s="188"/>
      <c r="F286" s="188"/>
      <c r="G286" s="188"/>
      <c r="H286" s="188"/>
      <c r="I286" s="188"/>
      <c r="J286" s="188"/>
      <c r="K286" s="188"/>
      <c r="L286" s="188"/>
      <c r="M286" s="188"/>
      <c r="N286" s="188"/>
      <c r="O286" s="188"/>
      <c r="P286" s="188"/>
      <c r="Q286" s="188"/>
      <c r="R286" s="188"/>
      <c r="S286" s="188"/>
      <c r="T286" s="188"/>
      <c r="U286" s="188"/>
    </row>
    <row r="287" spans="1:21">
      <c r="A287" s="346" t="s">
        <v>15</v>
      </c>
      <c r="B287" s="415">
        <f>B292</f>
        <v>0.01</v>
      </c>
      <c r="C287" s="188"/>
      <c r="D287" s="188"/>
      <c r="E287" s="188"/>
      <c r="F287" s="188"/>
      <c r="G287" s="188"/>
      <c r="H287" s="188"/>
      <c r="I287" s="188"/>
      <c r="J287" s="188"/>
      <c r="K287" s="188"/>
      <c r="L287" s="188"/>
      <c r="M287" s="188"/>
      <c r="N287" s="188"/>
      <c r="O287" s="188"/>
      <c r="P287" s="188"/>
      <c r="Q287" s="188"/>
      <c r="R287" s="344" t="s">
        <v>885</v>
      </c>
      <c r="S287" s="188"/>
      <c r="T287" s="188"/>
      <c r="U287" s="188"/>
    </row>
    <row r="288" spans="1:21">
      <c r="A288" s="346" t="s">
        <v>16</v>
      </c>
      <c r="B288" s="188" t="s">
        <v>17</v>
      </c>
      <c r="C288" s="188"/>
      <c r="D288" s="188"/>
      <c r="E288" s="188"/>
      <c r="F288" s="188"/>
      <c r="G288" s="188"/>
      <c r="H288" s="188"/>
      <c r="I288" s="188"/>
      <c r="J288" s="188"/>
      <c r="K288" s="188"/>
      <c r="L288" s="188"/>
      <c r="M288" s="188"/>
      <c r="N288" s="188"/>
      <c r="O288" s="188"/>
      <c r="P288" s="188"/>
      <c r="Q288" s="188"/>
      <c r="R288" s="188" t="s">
        <v>886</v>
      </c>
      <c r="S288" s="188">
        <v>8900</v>
      </c>
      <c r="T288" s="188" t="s">
        <v>887</v>
      </c>
      <c r="U288" s="188"/>
    </row>
    <row r="289" spans="1:21">
      <c r="A289" s="346" t="s">
        <v>18</v>
      </c>
      <c r="B289" s="188" t="s">
        <v>609</v>
      </c>
      <c r="C289" s="188"/>
      <c r="D289" s="188"/>
      <c r="E289" s="188"/>
      <c r="F289" s="188"/>
      <c r="G289" s="188"/>
      <c r="H289" s="188"/>
      <c r="I289" s="188"/>
      <c r="J289" s="188"/>
      <c r="K289" s="188"/>
      <c r="L289" s="188"/>
      <c r="M289" s="188"/>
      <c r="N289" s="188"/>
      <c r="O289" s="188"/>
      <c r="P289" s="188"/>
      <c r="Q289" s="188"/>
      <c r="R289" s="188" t="s">
        <v>888</v>
      </c>
      <c r="S289" s="188">
        <f>5*10^-6</f>
        <v>4.9999999999999996E-6</v>
      </c>
      <c r="T289" s="188" t="s">
        <v>889</v>
      </c>
      <c r="U289" s="188"/>
    </row>
    <row r="290" spans="1:21">
      <c r="A290" s="343" t="s">
        <v>19</v>
      </c>
      <c r="B290" s="188"/>
      <c r="C290" s="188"/>
      <c r="D290" s="188"/>
      <c r="E290" s="188"/>
      <c r="F290" s="188"/>
      <c r="G290" s="188"/>
      <c r="H290" s="188"/>
      <c r="I290" s="188"/>
      <c r="J290" s="188"/>
      <c r="K290" s="188"/>
      <c r="L290" s="188"/>
      <c r="M290" s="188"/>
      <c r="N290" s="188"/>
      <c r="O290" s="188"/>
      <c r="P290" s="188"/>
      <c r="Q290" s="188"/>
      <c r="R290" s="427" t="s">
        <v>890</v>
      </c>
      <c r="S290" s="428">
        <f>S289*S288</f>
        <v>4.4499999999999998E-2</v>
      </c>
      <c r="T290" s="429" t="s">
        <v>891</v>
      </c>
      <c r="U290" s="188"/>
    </row>
    <row r="291" spans="1:21">
      <c r="A291" s="344" t="s">
        <v>20</v>
      </c>
      <c r="B291" s="344" t="s">
        <v>21</v>
      </c>
      <c r="C291" s="344" t="s">
        <v>18</v>
      </c>
      <c r="D291" s="344" t="s">
        <v>22</v>
      </c>
      <c r="E291" s="344" t="s">
        <v>7</v>
      </c>
      <c r="F291" s="344" t="s">
        <v>13</v>
      </c>
      <c r="G291" s="344" t="s">
        <v>16</v>
      </c>
      <c r="H291" s="344" t="s">
        <v>23</v>
      </c>
      <c r="I291" s="344" t="s">
        <v>24</v>
      </c>
      <c r="J291" s="344" t="s">
        <v>25</v>
      </c>
      <c r="K291" s="344" t="s">
        <v>26</v>
      </c>
      <c r="L291" s="344" t="s">
        <v>27</v>
      </c>
      <c r="M291" s="344" t="s">
        <v>28</v>
      </c>
      <c r="N291" s="344" t="s">
        <v>11</v>
      </c>
      <c r="O291" s="188"/>
      <c r="P291" s="188"/>
      <c r="Q291" s="188"/>
      <c r="R291" s="188"/>
      <c r="S291" s="188"/>
      <c r="T291" s="188"/>
      <c r="U291" s="188"/>
    </row>
    <row r="292" spans="1:21">
      <c r="A292" s="188" t="s">
        <v>952</v>
      </c>
      <c r="B292" s="415">
        <v>0.01</v>
      </c>
      <c r="C292" s="188" t="s">
        <v>609</v>
      </c>
      <c r="D292" s="408" t="s">
        <v>2</v>
      </c>
      <c r="E292" s="188" t="s">
        <v>29</v>
      </c>
      <c r="F292" s="188" t="s">
        <v>14</v>
      </c>
      <c r="G292" s="188" t="s">
        <v>30</v>
      </c>
      <c r="H292" s="188">
        <v>1</v>
      </c>
      <c r="I292" s="188">
        <f t="shared" ref="I292:I294" si="38">B292</f>
        <v>0.01</v>
      </c>
      <c r="J292" s="188" t="s">
        <v>31</v>
      </c>
      <c r="K292" s="188" t="s">
        <v>31</v>
      </c>
      <c r="L292" s="188" t="s">
        <v>31</v>
      </c>
      <c r="M292" s="188" t="s">
        <v>31</v>
      </c>
      <c r="N292" s="188"/>
      <c r="O292" s="401" t="s">
        <v>892</v>
      </c>
      <c r="P292" s="414">
        <f>B292*100</f>
        <v>1</v>
      </c>
      <c r="Q292" s="188"/>
      <c r="R292" s="188" t="s">
        <v>554</v>
      </c>
      <c r="S292" s="188"/>
      <c r="T292" s="188"/>
      <c r="U292" s="410"/>
    </row>
    <row r="293" spans="1:21">
      <c r="A293" s="188" t="s">
        <v>954</v>
      </c>
      <c r="B293" s="415">
        <v>0.01</v>
      </c>
      <c r="C293" s="188" t="s">
        <v>609</v>
      </c>
      <c r="D293" s="408" t="s">
        <v>2</v>
      </c>
      <c r="E293" s="188" t="s">
        <v>29</v>
      </c>
      <c r="F293" s="188" t="s">
        <v>14</v>
      </c>
      <c r="G293" s="188" t="s">
        <v>33</v>
      </c>
      <c r="H293" s="188">
        <v>1</v>
      </c>
      <c r="I293" s="188">
        <f t="shared" si="38"/>
        <v>0.01</v>
      </c>
      <c r="J293" s="188">
        <v>7.2284161474004766E-2</v>
      </c>
      <c r="K293" s="188" t="s">
        <v>31</v>
      </c>
      <c r="L293" s="188" t="s">
        <v>31</v>
      </c>
      <c r="M293" s="188" t="s">
        <v>31</v>
      </c>
      <c r="N293" s="188"/>
      <c r="O293" s="401" t="s">
        <v>892</v>
      </c>
      <c r="P293" s="414">
        <f>B293*100</f>
        <v>1</v>
      </c>
      <c r="Q293" s="188"/>
      <c r="R293" s="430">
        <v>0.17</v>
      </c>
      <c r="S293" s="431" t="s">
        <v>610</v>
      </c>
      <c r="T293" s="430">
        <f>R293*S290</f>
        <v>7.5650000000000005E-3</v>
      </c>
      <c r="U293" s="431" t="s">
        <v>241</v>
      </c>
    </row>
    <row r="294" spans="1:21">
      <c r="A294" s="192" t="s">
        <v>872</v>
      </c>
      <c r="B294" s="420">
        <f>T293</f>
        <v>7.5650000000000005E-3</v>
      </c>
      <c r="C294" s="188" t="s">
        <v>37</v>
      </c>
      <c r="D294" s="408" t="s">
        <v>2</v>
      </c>
      <c r="E294" s="188" t="s">
        <v>29</v>
      </c>
      <c r="F294" s="37" t="s">
        <v>14</v>
      </c>
      <c r="G294" s="188" t="s">
        <v>33</v>
      </c>
      <c r="H294" s="188">
        <v>1</v>
      </c>
      <c r="I294" s="188">
        <f t="shared" si="38"/>
        <v>7.5650000000000005E-3</v>
      </c>
      <c r="J294" s="188">
        <v>7.2284161474004766E-2</v>
      </c>
      <c r="K294" s="188" t="s">
        <v>31</v>
      </c>
      <c r="L294" s="188" t="s">
        <v>31</v>
      </c>
      <c r="M294" s="188" t="s">
        <v>31</v>
      </c>
      <c r="N294" s="188"/>
      <c r="O294" s="432"/>
      <c r="P294" s="433"/>
      <c r="Q294" s="188"/>
      <c r="R294" s="188"/>
      <c r="S294" s="188"/>
      <c r="T294" s="188"/>
      <c r="U294" s="188"/>
    </row>
    <row r="295" spans="1:21">
      <c r="A295" s="346" t="s">
        <v>799</v>
      </c>
      <c r="B295" s="188">
        <v>1.3</v>
      </c>
      <c r="C295" s="188" t="s">
        <v>37</v>
      </c>
      <c r="D295" s="188" t="s">
        <v>40</v>
      </c>
      <c r="E295" s="188" t="s">
        <v>29</v>
      </c>
      <c r="F295" s="37" t="s">
        <v>74</v>
      </c>
      <c r="G295" s="188" t="s">
        <v>33</v>
      </c>
      <c r="H295" s="188">
        <v>2</v>
      </c>
      <c r="I295" s="188">
        <f t="shared" ref="I295" si="39">LN(B295)</f>
        <v>0.26236426446749106</v>
      </c>
      <c r="J295" s="188">
        <v>7.2284161474004766E-2</v>
      </c>
      <c r="K295" s="188" t="s">
        <v>31</v>
      </c>
      <c r="L295" s="188" t="s">
        <v>31</v>
      </c>
      <c r="M295" s="188" t="s">
        <v>31</v>
      </c>
      <c r="N295" s="188"/>
      <c r="O295" s="432"/>
      <c r="P295" s="433"/>
      <c r="Q295" s="188"/>
      <c r="R295" s="188"/>
      <c r="S295" s="188"/>
      <c r="T295" s="188"/>
      <c r="U295" s="188"/>
    </row>
    <row r="296" spans="1:21">
      <c r="A296" s="37" t="s">
        <v>874</v>
      </c>
      <c r="B296" s="350">
        <v>0.1</v>
      </c>
      <c r="C296" s="188" t="s">
        <v>37</v>
      </c>
      <c r="D296" s="188" t="s">
        <v>40</v>
      </c>
      <c r="E296" s="188" t="s">
        <v>29</v>
      </c>
      <c r="F296" s="37" t="s">
        <v>59</v>
      </c>
      <c r="G296" s="188" t="s">
        <v>33</v>
      </c>
      <c r="H296" s="188">
        <v>2</v>
      </c>
      <c r="I296" s="188">
        <f>LN(B296)</f>
        <v>-2.3025850929940455</v>
      </c>
      <c r="J296" s="188">
        <v>7.2284161474004766E-2</v>
      </c>
      <c r="K296" s="188" t="s">
        <v>31</v>
      </c>
      <c r="L296" s="188" t="s">
        <v>31</v>
      </c>
      <c r="M296" s="188" t="s">
        <v>31</v>
      </c>
      <c r="N296" s="188"/>
      <c r="O296" s="432"/>
      <c r="P296" s="433"/>
      <c r="Q296" s="188"/>
      <c r="R296" s="188"/>
      <c r="S296" s="188"/>
      <c r="T296" s="188"/>
      <c r="U296" s="188"/>
    </row>
    <row r="297" spans="1:21">
      <c r="A297" s="37" t="s">
        <v>76</v>
      </c>
      <c r="B297" s="188">
        <v>1.3</v>
      </c>
      <c r="C297" s="188" t="s">
        <v>42</v>
      </c>
      <c r="D297" s="188" t="s">
        <v>40</v>
      </c>
      <c r="E297" s="188" t="s">
        <v>29</v>
      </c>
      <c r="F297" s="37" t="s">
        <v>74</v>
      </c>
      <c r="G297" s="188" t="s">
        <v>33</v>
      </c>
      <c r="H297" s="188">
        <v>2</v>
      </c>
      <c r="I297" s="188">
        <f t="shared" ref="I297" si="40">LN(B297)</f>
        <v>0.26236426446749106</v>
      </c>
      <c r="J297" s="188">
        <v>7.2284161474004766E-2</v>
      </c>
      <c r="K297" s="188" t="s">
        <v>31</v>
      </c>
      <c r="L297" s="188" t="s">
        <v>31</v>
      </c>
      <c r="M297" s="188" t="s">
        <v>31</v>
      </c>
      <c r="N297" s="188"/>
      <c r="O297" s="192"/>
      <c r="P297" s="421"/>
      <c r="Q297" s="435"/>
      <c r="R297" s="188"/>
      <c r="S297" s="188"/>
      <c r="T297" s="188"/>
      <c r="U297" s="188"/>
    </row>
    <row r="298" spans="1:21" s="70" customFormat="1">
      <c r="A298" s="370" t="s">
        <v>5</v>
      </c>
      <c r="B298" s="371" t="s">
        <v>954</v>
      </c>
      <c r="C298" s="353"/>
      <c r="D298" s="353"/>
      <c r="E298" s="353"/>
      <c r="F298" s="353"/>
      <c r="G298" s="353"/>
      <c r="H298" s="353"/>
      <c r="I298" s="353"/>
      <c r="J298" s="353"/>
      <c r="K298" s="353"/>
      <c r="L298" s="353"/>
      <c r="M298" s="353"/>
      <c r="N298" s="353"/>
      <c r="O298" s="353"/>
      <c r="P298" s="353"/>
      <c r="Q298" s="353"/>
      <c r="R298" s="353"/>
      <c r="S298" s="353"/>
      <c r="T298" s="353"/>
      <c r="U298" s="353"/>
    </row>
    <row r="299" spans="1:21">
      <c r="A299" s="346" t="s">
        <v>7</v>
      </c>
      <c r="B299" s="188" t="s">
        <v>786</v>
      </c>
      <c r="C299" s="345"/>
      <c r="D299" s="188"/>
      <c r="E299" s="188"/>
      <c r="F299" s="188"/>
      <c r="G299" s="188"/>
      <c r="H299" s="188"/>
      <c r="I299" s="188"/>
      <c r="J299" s="188"/>
      <c r="K299" s="188"/>
      <c r="L299" s="188"/>
      <c r="M299" s="188"/>
      <c r="N299" s="188"/>
      <c r="O299" s="188"/>
      <c r="P299" s="188"/>
      <c r="Q299" s="188"/>
      <c r="R299" s="188"/>
      <c r="S299" s="188"/>
      <c r="T299" s="188"/>
      <c r="U299" s="188"/>
    </row>
    <row r="300" spans="1:21">
      <c r="A300" s="424" t="s">
        <v>9</v>
      </c>
      <c r="B300" s="188" t="s">
        <v>955</v>
      </c>
      <c r="C300" s="345"/>
      <c r="D300" s="188"/>
      <c r="E300" s="188"/>
      <c r="F300" s="188"/>
      <c r="G300" s="188"/>
      <c r="H300" s="188"/>
      <c r="I300" s="188"/>
      <c r="J300" s="188"/>
      <c r="K300" s="188"/>
      <c r="L300" s="188"/>
      <c r="M300" s="188"/>
      <c r="N300" s="188"/>
      <c r="O300" s="188"/>
      <c r="P300" s="188"/>
      <c r="Q300" s="188"/>
      <c r="R300" s="188"/>
      <c r="S300" s="188"/>
      <c r="T300" s="188"/>
      <c r="U300" s="188"/>
    </row>
    <row r="301" spans="1:21" ht="15.75" customHeight="1">
      <c r="A301" s="346" t="s">
        <v>11</v>
      </c>
      <c r="B301" s="347" t="s">
        <v>796</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46" t="s">
        <v>13</v>
      </c>
      <c r="B302" s="188" t="s">
        <v>14</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46" t="s">
        <v>15</v>
      </c>
      <c r="B303" s="415">
        <f>B308</f>
        <v>6.0000000000000001E-3</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46" t="s">
        <v>16</v>
      </c>
      <c r="B304" s="188" t="s">
        <v>17</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46" t="s">
        <v>18</v>
      </c>
      <c r="B305" s="188" t="s">
        <v>609</v>
      </c>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43" t="s">
        <v>19</v>
      </c>
      <c r="B306" s="188"/>
      <c r="C306" s="188"/>
      <c r="D306" s="188"/>
      <c r="E306" s="188"/>
      <c r="F306" s="188"/>
      <c r="G306" s="188"/>
      <c r="H306" s="188"/>
      <c r="I306" s="188"/>
      <c r="J306" s="188"/>
      <c r="K306" s="188"/>
      <c r="L306" s="188"/>
      <c r="M306" s="188"/>
      <c r="N306" s="188"/>
      <c r="O306" s="188"/>
      <c r="P306" s="188"/>
      <c r="Q306" s="188"/>
      <c r="R306" s="188"/>
      <c r="S306" s="188"/>
      <c r="T306" s="188"/>
      <c r="U306" s="188"/>
    </row>
    <row r="307" spans="1:21">
      <c r="A307" s="344" t="s">
        <v>20</v>
      </c>
      <c r="B307" s="344" t="s">
        <v>21</v>
      </c>
      <c r="C307" s="344" t="s">
        <v>18</v>
      </c>
      <c r="D307" s="344" t="s">
        <v>22</v>
      </c>
      <c r="E307" s="344" t="s">
        <v>7</v>
      </c>
      <c r="F307" s="344" t="s">
        <v>13</v>
      </c>
      <c r="G307" s="344" t="s">
        <v>16</v>
      </c>
      <c r="H307" s="344" t="s">
        <v>23</v>
      </c>
      <c r="I307" s="344" t="s">
        <v>24</v>
      </c>
      <c r="J307" s="344" t="s">
        <v>25</v>
      </c>
      <c r="K307" s="344" t="s">
        <v>26</v>
      </c>
      <c r="L307" s="344" t="s">
        <v>27</v>
      </c>
      <c r="M307" s="344" t="s">
        <v>28</v>
      </c>
      <c r="N307" s="344" t="s">
        <v>11</v>
      </c>
      <c r="O307" s="188"/>
      <c r="P307" s="188"/>
      <c r="Q307" s="188"/>
      <c r="R307" s="188"/>
      <c r="S307" s="188"/>
      <c r="T307" s="415"/>
      <c r="U307" s="188"/>
    </row>
    <row r="308" spans="1:21">
      <c r="A308" s="188" t="s">
        <v>954</v>
      </c>
      <c r="B308" s="415">
        <f>B309</f>
        <v>6.0000000000000001E-3</v>
      </c>
      <c r="C308" s="188" t="s">
        <v>609</v>
      </c>
      <c r="D308" s="408" t="s">
        <v>2</v>
      </c>
      <c r="E308" s="188" t="s">
        <v>29</v>
      </c>
      <c r="F308" s="188" t="s">
        <v>14</v>
      </c>
      <c r="G308" s="188" t="s">
        <v>30</v>
      </c>
      <c r="H308" s="188">
        <v>1</v>
      </c>
      <c r="I308" s="188">
        <f t="shared" ref="I308:I309" si="41">B308</f>
        <v>6.0000000000000001E-3</v>
      </c>
      <c r="J308" s="188" t="s">
        <v>31</v>
      </c>
      <c r="K308" s="188" t="s">
        <v>31</v>
      </c>
      <c r="L308" s="188" t="s">
        <v>31</v>
      </c>
      <c r="M308" s="188" t="s">
        <v>31</v>
      </c>
      <c r="N308" s="188"/>
      <c r="O308" s="188"/>
      <c r="P308" s="188"/>
      <c r="Q308" s="188"/>
      <c r="R308" s="188"/>
      <c r="S308" s="188"/>
      <c r="T308" s="188"/>
      <c r="U308" s="188"/>
    </row>
    <row r="309" spans="1:21">
      <c r="A309" s="188" t="s">
        <v>956</v>
      </c>
      <c r="B309" s="415">
        <v>6.0000000000000001E-3</v>
      </c>
      <c r="C309" s="188" t="s">
        <v>609</v>
      </c>
      <c r="D309" s="408" t="s">
        <v>2</v>
      </c>
      <c r="E309" s="188" t="s">
        <v>29</v>
      </c>
      <c r="F309" s="188" t="s">
        <v>14</v>
      </c>
      <c r="G309" s="188" t="s">
        <v>33</v>
      </c>
      <c r="H309" s="188">
        <v>1</v>
      </c>
      <c r="I309" s="188">
        <f t="shared" si="41"/>
        <v>6.0000000000000001E-3</v>
      </c>
      <c r="J309" s="188" t="s">
        <v>31</v>
      </c>
      <c r="K309" s="188" t="s">
        <v>31</v>
      </c>
      <c r="L309" s="188" t="s">
        <v>31</v>
      </c>
      <c r="M309" s="188" t="s">
        <v>31</v>
      </c>
      <c r="N309" s="188"/>
      <c r="O309" s="188"/>
      <c r="P309" s="188"/>
      <c r="Q309" s="188"/>
      <c r="R309" s="188"/>
      <c r="S309" s="188"/>
      <c r="T309" s="188"/>
      <c r="U309" s="188"/>
    </row>
    <row r="310" spans="1:21">
      <c r="A310" s="346" t="s">
        <v>269</v>
      </c>
      <c r="B310" s="350">
        <f>P310</f>
        <v>7.8E-2</v>
      </c>
      <c r="C310" s="188" t="s">
        <v>39</v>
      </c>
      <c r="D310" s="188" t="s">
        <v>40</v>
      </c>
      <c r="E310" s="188" t="s">
        <v>29</v>
      </c>
      <c r="F310" s="37" t="s">
        <v>35</v>
      </c>
      <c r="G310" s="188" t="s">
        <v>33</v>
      </c>
      <c r="H310" s="188">
        <v>2</v>
      </c>
      <c r="I310" s="188">
        <f t="shared" ref="I310" si="42">LN(B310)</f>
        <v>-2.5510464522925451</v>
      </c>
      <c r="J310" s="188">
        <v>0.22500000000000006</v>
      </c>
      <c r="K310" s="188" t="s">
        <v>31</v>
      </c>
      <c r="L310" s="188" t="s">
        <v>31</v>
      </c>
      <c r="M310" s="188" t="s">
        <v>31</v>
      </c>
      <c r="N310" s="188"/>
      <c r="O310" s="401" t="s">
        <v>248</v>
      </c>
      <c r="P310" s="414">
        <v>7.8E-2</v>
      </c>
      <c r="Q310" s="188"/>
      <c r="R310" s="188"/>
      <c r="S310" s="188"/>
      <c r="T310" s="188"/>
      <c r="U310" s="188"/>
    </row>
    <row r="311" spans="1:21">
      <c r="A311" s="37" t="s">
        <v>680</v>
      </c>
      <c r="B311" s="415">
        <f>P311</f>
        <v>3.5999999999999999E-3</v>
      </c>
      <c r="C311" s="188" t="s">
        <v>37</v>
      </c>
      <c r="D311" s="188" t="s">
        <v>40</v>
      </c>
      <c r="E311" s="188" t="s">
        <v>29</v>
      </c>
      <c r="F311" s="188" t="s">
        <v>35</v>
      </c>
      <c r="G311" s="188" t="s">
        <v>33</v>
      </c>
      <c r="H311" s="188">
        <v>2</v>
      </c>
      <c r="I311" s="188">
        <f>LN(B311)</f>
        <v>-5.6268214335200728</v>
      </c>
      <c r="J311" s="188">
        <v>0.22500000000000006</v>
      </c>
      <c r="K311" s="188" t="s">
        <v>31</v>
      </c>
      <c r="L311" s="188" t="s">
        <v>31</v>
      </c>
      <c r="M311" s="188" t="s">
        <v>31</v>
      </c>
      <c r="N311" s="188"/>
      <c r="O311" s="401" t="s">
        <v>241</v>
      </c>
      <c r="P311" s="452">
        <v>3.5999999999999999E-3</v>
      </c>
      <c r="Q311" s="188"/>
      <c r="R311" s="188"/>
      <c r="S311" s="188"/>
      <c r="T311" s="188"/>
      <c r="U311" s="188"/>
    </row>
    <row r="312" spans="1:21">
      <c r="A312" s="188" t="s">
        <v>957</v>
      </c>
      <c r="B312" s="415">
        <f>P312</f>
        <v>7.7999999999999996E-3</v>
      </c>
      <c r="C312" s="188" t="s">
        <v>37</v>
      </c>
      <c r="D312" s="188" t="s">
        <v>40</v>
      </c>
      <c r="E312" s="188" t="s">
        <v>29</v>
      </c>
      <c r="F312" s="188" t="s">
        <v>59</v>
      </c>
      <c r="G312" s="188" t="s">
        <v>33</v>
      </c>
      <c r="H312" s="188">
        <v>2</v>
      </c>
      <c r="I312" s="188">
        <f t="shared" ref="I312:I318" si="43">LN(B312)</f>
        <v>-4.853631545286591</v>
      </c>
      <c r="J312" s="188">
        <v>0.22500000000000006</v>
      </c>
      <c r="K312" s="188" t="s">
        <v>31</v>
      </c>
      <c r="L312" s="188" t="s">
        <v>31</v>
      </c>
      <c r="M312" s="188" t="s">
        <v>31</v>
      </c>
      <c r="N312" s="188"/>
      <c r="O312" s="401" t="s">
        <v>241</v>
      </c>
      <c r="P312" s="452">
        <v>7.7999999999999996E-3</v>
      </c>
      <c r="Q312" s="188"/>
      <c r="R312" s="188"/>
      <c r="S312" s="188"/>
      <c r="T312" s="188"/>
      <c r="U312" s="188"/>
    </row>
    <row r="313" spans="1:21">
      <c r="A313" s="37" t="s">
        <v>545</v>
      </c>
      <c r="B313" s="415">
        <f t="shared" ref="B313:B318" si="44">P313</f>
        <v>3.5999999999999999E-3</v>
      </c>
      <c r="C313" s="188" t="s">
        <v>37</v>
      </c>
      <c r="D313" s="188" t="s">
        <v>40</v>
      </c>
      <c r="E313" s="188" t="s">
        <v>29</v>
      </c>
      <c r="F313" s="188" t="s">
        <v>35</v>
      </c>
      <c r="G313" s="188" t="s">
        <v>33</v>
      </c>
      <c r="H313" s="188">
        <v>2</v>
      </c>
      <c r="I313" s="188">
        <f t="shared" si="43"/>
        <v>-5.6268214335200728</v>
      </c>
      <c r="J313" s="188">
        <v>0.22500000000000006</v>
      </c>
      <c r="K313" s="188" t="s">
        <v>31</v>
      </c>
      <c r="L313" s="188" t="s">
        <v>31</v>
      </c>
      <c r="M313" s="188" t="s">
        <v>31</v>
      </c>
      <c r="N313" s="188"/>
      <c r="O313" s="401" t="s">
        <v>241</v>
      </c>
      <c r="P313" s="452">
        <v>3.5999999999999999E-3</v>
      </c>
      <c r="Q313" s="188"/>
      <c r="R313" s="188"/>
      <c r="S313" s="188"/>
      <c r="T313" s="188"/>
      <c r="U313" s="188"/>
    </row>
    <row r="314" spans="1:21">
      <c r="A314" s="37" t="s">
        <v>958</v>
      </c>
      <c r="B314" s="415">
        <f t="shared" si="44"/>
        <v>2.7000000000000001E-3</v>
      </c>
      <c r="C314" s="188" t="s">
        <v>37</v>
      </c>
      <c r="D314" s="188" t="s">
        <v>40</v>
      </c>
      <c r="E314" s="188" t="s">
        <v>29</v>
      </c>
      <c r="F314" s="188" t="s">
        <v>59</v>
      </c>
      <c r="G314" s="188" t="s">
        <v>33</v>
      </c>
      <c r="H314" s="188">
        <v>2</v>
      </c>
      <c r="I314" s="188">
        <f t="shared" si="43"/>
        <v>-5.9145035059718536</v>
      </c>
      <c r="J314" s="188">
        <v>0.22500000000000006</v>
      </c>
      <c r="K314" s="188" t="s">
        <v>31</v>
      </c>
      <c r="L314" s="188" t="s">
        <v>31</v>
      </c>
      <c r="M314" s="188" t="s">
        <v>31</v>
      </c>
      <c r="N314" s="188"/>
      <c r="O314" s="401" t="s">
        <v>241</v>
      </c>
      <c r="P314" s="452">
        <v>2.7000000000000001E-3</v>
      </c>
      <c r="Q314" s="188"/>
      <c r="R314" s="188"/>
      <c r="S314" s="188"/>
      <c r="T314" s="188"/>
      <c r="U314" s="188"/>
    </row>
    <row r="315" spans="1:21">
      <c r="A315" s="37" t="s">
        <v>193</v>
      </c>
      <c r="B315" s="415">
        <f t="shared" si="44"/>
        <v>7.7999999999999996E-3</v>
      </c>
      <c r="C315" s="188" t="s">
        <v>37</v>
      </c>
      <c r="D315" s="188" t="s">
        <v>40</v>
      </c>
      <c r="E315" s="188" t="s">
        <v>29</v>
      </c>
      <c r="F315" s="188" t="s">
        <v>59</v>
      </c>
      <c r="G315" s="188" t="s">
        <v>33</v>
      </c>
      <c r="H315" s="188">
        <v>2</v>
      </c>
      <c r="I315" s="188">
        <f t="shared" si="43"/>
        <v>-4.853631545286591</v>
      </c>
      <c r="J315" s="188">
        <v>0.22500000000000006</v>
      </c>
      <c r="K315" s="188" t="s">
        <v>31</v>
      </c>
      <c r="L315" s="188" t="s">
        <v>31</v>
      </c>
      <c r="M315" s="188" t="s">
        <v>31</v>
      </c>
      <c r="N315" s="188"/>
      <c r="O315" s="401" t="s">
        <v>241</v>
      </c>
      <c r="P315" s="452">
        <v>7.7999999999999996E-3</v>
      </c>
      <c r="Q315" s="188"/>
      <c r="R315" s="188"/>
      <c r="S315" s="188"/>
      <c r="T315" s="188"/>
      <c r="U315" s="188"/>
    </row>
    <row r="316" spans="1:21">
      <c r="A316" s="346" t="s">
        <v>799</v>
      </c>
      <c r="B316" s="415">
        <f t="shared" si="44"/>
        <v>0.14299999999999999</v>
      </c>
      <c r="C316" s="188" t="s">
        <v>37</v>
      </c>
      <c r="D316" s="188" t="s">
        <v>40</v>
      </c>
      <c r="E316" s="188" t="s">
        <v>29</v>
      </c>
      <c r="F316" s="37" t="s">
        <v>74</v>
      </c>
      <c r="G316" s="188" t="s">
        <v>33</v>
      </c>
      <c r="H316" s="188">
        <v>2</v>
      </c>
      <c r="I316" s="188">
        <f t="shared" si="43"/>
        <v>-1.9449106487222299</v>
      </c>
      <c r="J316" s="188">
        <v>0.22500000000000006</v>
      </c>
      <c r="K316" s="188" t="s">
        <v>31</v>
      </c>
      <c r="L316" s="188" t="s">
        <v>31</v>
      </c>
      <c r="M316" s="188" t="s">
        <v>31</v>
      </c>
      <c r="N316" s="188"/>
      <c r="O316" s="401" t="s">
        <v>241</v>
      </c>
      <c r="P316" s="452">
        <v>0.14299999999999999</v>
      </c>
      <c r="Q316" s="188"/>
      <c r="R316" s="188"/>
      <c r="S316" s="188"/>
      <c r="T316" s="188"/>
      <c r="U316" s="188"/>
    </row>
    <row r="317" spans="1:21">
      <c r="A317" s="37" t="s">
        <v>758</v>
      </c>
      <c r="B317" s="415">
        <f t="shared" si="44"/>
        <v>1.4E-3</v>
      </c>
      <c r="C317" s="188" t="s">
        <v>37</v>
      </c>
      <c r="D317" s="188" t="s">
        <v>43</v>
      </c>
      <c r="E317" s="188" t="s">
        <v>44</v>
      </c>
      <c r="F317" s="188" t="s">
        <v>29</v>
      </c>
      <c r="G317" s="188" t="s">
        <v>45</v>
      </c>
      <c r="H317" s="188">
        <v>2</v>
      </c>
      <c r="I317" s="188">
        <f t="shared" si="43"/>
        <v>-6.5712830423609239</v>
      </c>
      <c r="J317" s="188">
        <v>0.22500000000000006</v>
      </c>
      <c r="K317" s="188" t="s">
        <v>31</v>
      </c>
      <c r="L317" s="188" t="s">
        <v>31</v>
      </c>
      <c r="M317" s="188" t="s">
        <v>31</v>
      </c>
      <c r="N317" s="188"/>
      <c r="O317" s="416" t="s">
        <v>241</v>
      </c>
      <c r="P317" s="417">
        <v>1.4E-3</v>
      </c>
      <c r="Q317" s="188"/>
      <c r="R317" s="188"/>
      <c r="S317" s="188"/>
      <c r="T317" s="188"/>
      <c r="U317" s="188"/>
    </row>
    <row r="318" spans="1:21">
      <c r="A318" s="188" t="s">
        <v>784</v>
      </c>
      <c r="B318" s="415">
        <f t="shared" si="44"/>
        <v>2.5999999999999999E-2</v>
      </c>
      <c r="C318" s="188" t="s">
        <v>37</v>
      </c>
      <c r="D318" s="408" t="s">
        <v>2</v>
      </c>
      <c r="E318" s="188" t="s">
        <v>29</v>
      </c>
      <c r="F318" s="37" t="s">
        <v>74</v>
      </c>
      <c r="G318" s="188" t="s">
        <v>33</v>
      </c>
      <c r="H318" s="188">
        <v>2</v>
      </c>
      <c r="I318" s="188">
        <f t="shared" si="43"/>
        <v>-3.6496587409606551</v>
      </c>
      <c r="J318" s="188">
        <v>0.22500000000000006</v>
      </c>
      <c r="K318" s="188" t="s">
        <v>31</v>
      </c>
      <c r="L318" s="188" t="s">
        <v>31</v>
      </c>
      <c r="M318" s="188" t="s">
        <v>31</v>
      </c>
      <c r="N318" s="188"/>
      <c r="O318" s="418" t="s">
        <v>241</v>
      </c>
      <c r="P318" s="453">
        <v>2.5999999999999999E-2</v>
      </c>
      <c r="Q318" s="188"/>
      <c r="R318" s="188"/>
      <c r="S318" s="188"/>
      <c r="T318" s="188"/>
      <c r="U318" s="188"/>
    </row>
    <row r="319" spans="1:21" s="70" customFormat="1">
      <c r="A319" s="370" t="s">
        <v>5</v>
      </c>
      <c r="B319" s="371" t="s">
        <v>956</v>
      </c>
      <c r="C319" s="353"/>
      <c r="D319" s="353"/>
      <c r="E319" s="353"/>
      <c r="F319" s="353"/>
      <c r="G319" s="353"/>
      <c r="H319" s="353"/>
      <c r="I319" s="353"/>
      <c r="J319" s="353"/>
      <c r="K319" s="353"/>
      <c r="L319" s="353"/>
      <c r="M319" s="353"/>
      <c r="N319" s="353"/>
      <c r="O319" s="353"/>
      <c r="P319" s="353"/>
      <c r="Q319" s="353"/>
      <c r="R319" s="353"/>
      <c r="S319" s="353"/>
      <c r="T319" s="353"/>
      <c r="U319" s="353"/>
    </row>
    <row r="320" spans="1:21">
      <c r="A320" s="346" t="s">
        <v>7</v>
      </c>
      <c r="B320" s="188" t="s">
        <v>786</v>
      </c>
      <c r="C320" s="345"/>
      <c r="D320" s="188"/>
      <c r="E320" s="188"/>
      <c r="F320" s="188"/>
      <c r="G320" s="188"/>
      <c r="H320" s="188"/>
      <c r="I320" s="188"/>
      <c r="J320" s="188"/>
      <c r="K320" s="188"/>
      <c r="L320" s="188"/>
      <c r="M320" s="188"/>
      <c r="N320" s="188"/>
      <c r="O320" s="188"/>
      <c r="P320" s="188"/>
      <c r="Q320" s="188"/>
      <c r="R320" s="188"/>
      <c r="S320" s="188"/>
      <c r="T320" s="188"/>
      <c r="U320" s="188"/>
    </row>
    <row r="321" spans="1:21">
      <c r="A321" s="424" t="s">
        <v>9</v>
      </c>
      <c r="B321" s="188" t="s">
        <v>959</v>
      </c>
      <c r="C321" s="345"/>
      <c r="D321" s="188"/>
      <c r="E321" s="188"/>
      <c r="F321" s="188"/>
      <c r="G321" s="188"/>
      <c r="H321" s="188"/>
      <c r="I321" s="188"/>
      <c r="J321" s="188"/>
      <c r="K321" s="188"/>
      <c r="L321" s="188"/>
      <c r="M321" s="188"/>
      <c r="N321" s="188"/>
      <c r="O321" s="188"/>
      <c r="P321" s="188"/>
      <c r="Q321" s="188"/>
      <c r="R321" s="188"/>
      <c r="S321" s="188"/>
      <c r="T321" s="188"/>
      <c r="U321" s="188"/>
    </row>
    <row r="322" spans="1:21" ht="15.75" customHeight="1">
      <c r="A322" s="346" t="s">
        <v>11</v>
      </c>
      <c r="B322" s="347" t="s">
        <v>796</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46" t="s">
        <v>13</v>
      </c>
      <c r="B323" s="188" t="s">
        <v>14</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46" t="s">
        <v>15</v>
      </c>
      <c r="B324" s="415">
        <f>B329</f>
        <v>6.0000000000000001E-3</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46" t="s">
        <v>16</v>
      </c>
      <c r="B325" s="188" t="s">
        <v>17</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46" t="s">
        <v>18</v>
      </c>
      <c r="B326" s="188" t="s">
        <v>609</v>
      </c>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43" t="s">
        <v>19</v>
      </c>
      <c r="B327" s="188"/>
      <c r="C327" s="188"/>
      <c r="D327" s="188"/>
      <c r="E327" s="188"/>
      <c r="F327" s="188"/>
      <c r="G327" s="188"/>
      <c r="H327" s="188"/>
      <c r="I327" s="188"/>
      <c r="J327" s="188"/>
      <c r="K327" s="188"/>
      <c r="L327" s="188"/>
      <c r="M327" s="188"/>
      <c r="N327" s="188"/>
      <c r="O327" s="188"/>
      <c r="P327" s="188"/>
      <c r="Q327" s="188"/>
      <c r="R327" s="188"/>
      <c r="S327" s="188"/>
      <c r="T327" s="188"/>
      <c r="U327" s="188"/>
    </row>
    <row r="328" spans="1:21">
      <c r="A328" s="344" t="s">
        <v>20</v>
      </c>
      <c r="B328" s="344" t="s">
        <v>21</v>
      </c>
      <c r="C328" s="344" t="s">
        <v>18</v>
      </c>
      <c r="D328" s="344" t="s">
        <v>22</v>
      </c>
      <c r="E328" s="344" t="s">
        <v>7</v>
      </c>
      <c r="F328" s="344" t="s">
        <v>13</v>
      </c>
      <c r="G328" s="344" t="s">
        <v>16</v>
      </c>
      <c r="H328" s="344" t="s">
        <v>23</v>
      </c>
      <c r="I328" s="344" t="s">
        <v>24</v>
      </c>
      <c r="J328" s="344" t="s">
        <v>25</v>
      </c>
      <c r="K328" s="344" t="s">
        <v>26</v>
      </c>
      <c r="L328" s="344" t="s">
        <v>27</v>
      </c>
      <c r="M328" s="344" t="s">
        <v>28</v>
      </c>
      <c r="N328" s="344" t="s">
        <v>11</v>
      </c>
      <c r="O328" s="188"/>
      <c r="P328" s="188"/>
      <c r="Q328" s="188"/>
      <c r="R328" s="188"/>
      <c r="S328" s="188"/>
      <c r="T328" s="415"/>
      <c r="U328" s="188"/>
    </row>
    <row r="329" spans="1:21">
      <c r="A329" s="188" t="s">
        <v>956</v>
      </c>
      <c r="B329" s="415">
        <f>B330</f>
        <v>6.0000000000000001E-3</v>
      </c>
      <c r="C329" s="188" t="s">
        <v>609</v>
      </c>
      <c r="D329" s="408" t="s">
        <v>2</v>
      </c>
      <c r="E329" s="188" t="s">
        <v>29</v>
      </c>
      <c r="F329" s="188" t="s">
        <v>14</v>
      </c>
      <c r="G329" s="188" t="s">
        <v>30</v>
      </c>
      <c r="H329" s="188">
        <v>1</v>
      </c>
      <c r="I329" s="188">
        <f t="shared" ref="I329:I331" si="45">B329</f>
        <v>6.0000000000000001E-3</v>
      </c>
      <c r="J329" s="188" t="s">
        <v>31</v>
      </c>
      <c r="K329" s="188" t="s">
        <v>31</v>
      </c>
      <c r="L329" s="188" t="s">
        <v>31</v>
      </c>
      <c r="M329" s="188" t="s">
        <v>31</v>
      </c>
      <c r="N329" s="188"/>
      <c r="O329" s="188"/>
      <c r="P329" s="188"/>
      <c r="Q329" s="188"/>
      <c r="R329" s="188"/>
      <c r="S329" s="188"/>
      <c r="T329" s="188"/>
      <c r="U329" s="188"/>
    </row>
    <row r="330" spans="1:21">
      <c r="A330" s="192" t="s">
        <v>960</v>
      </c>
      <c r="B330" s="415">
        <f>P330</f>
        <v>6.0000000000000001E-3</v>
      </c>
      <c r="C330" s="188" t="s">
        <v>609</v>
      </c>
      <c r="D330" s="408" t="s">
        <v>2</v>
      </c>
      <c r="E330" s="188" t="s">
        <v>29</v>
      </c>
      <c r="F330" s="188" t="s">
        <v>14</v>
      </c>
      <c r="G330" s="188" t="s">
        <v>33</v>
      </c>
      <c r="H330" s="188">
        <v>1</v>
      </c>
      <c r="I330" s="188">
        <f t="shared" si="45"/>
        <v>6.0000000000000001E-3</v>
      </c>
      <c r="J330" s="188">
        <v>2.8722813232690055E-2</v>
      </c>
      <c r="K330" s="188" t="s">
        <v>31</v>
      </c>
      <c r="L330" s="188" t="s">
        <v>31</v>
      </c>
      <c r="M330" s="188" t="s">
        <v>31</v>
      </c>
      <c r="N330" s="188"/>
      <c r="O330" s="396" t="s">
        <v>823</v>
      </c>
      <c r="P330" s="454">
        <v>6.0000000000000001E-3</v>
      </c>
      <c r="Q330" s="188"/>
      <c r="R330" s="188"/>
      <c r="S330" s="188"/>
      <c r="T330" s="188"/>
      <c r="U330" s="188"/>
    </row>
    <row r="331" spans="1:21">
      <c r="A331" s="192" t="s">
        <v>877</v>
      </c>
      <c r="B331" s="188">
        <f>R331</f>
        <v>6.2E-2</v>
      </c>
      <c r="C331" s="188" t="s">
        <v>241</v>
      </c>
      <c r="D331" s="408" t="s">
        <v>2</v>
      </c>
      <c r="E331" s="188" t="s">
        <v>29</v>
      </c>
      <c r="F331" s="188" t="s">
        <v>14</v>
      </c>
      <c r="G331" s="188" t="s">
        <v>33</v>
      </c>
      <c r="H331" s="188">
        <v>1</v>
      </c>
      <c r="I331" s="188">
        <f t="shared" si="45"/>
        <v>6.2E-2</v>
      </c>
      <c r="J331" s="188">
        <v>2.8722813232690055E-2</v>
      </c>
      <c r="K331" s="188" t="s">
        <v>31</v>
      </c>
      <c r="L331" s="188" t="s">
        <v>31</v>
      </c>
      <c r="M331" s="188" t="s">
        <v>31</v>
      </c>
      <c r="N331" s="188"/>
      <c r="O331" s="396" t="s">
        <v>580</v>
      </c>
      <c r="P331" s="455">
        <v>62</v>
      </c>
      <c r="Q331" s="188" t="s">
        <v>241</v>
      </c>
      <c r="R331" s="188">
        <f>P331*0.001</f>
        <v>6.2E-2</v>
      </c>
      <c r="S331" s="188"/>
      <c r="T331" s="188"/>
      <c r="U331" s="188"/>
    </row>
    <row r="332" spans="1:21">
      <c r="A332" s="346" t="s">
        <v>269</v>
      </c>
      <c r="B332" s="350">
        <f t="shared" ref="B332:B334" si="46">P332</f>
        <v>6.0000000000000001E-3</v>
      </c>
      <c r="C332" s="188" t="s">
        <v>39</v>
      </c>
      <c r="D332" s="188" t="s">
        <v>40</v>
      </c>
      <c r="E332" s="188" t="s">
        <v>29</v>
      </c>
      <c r="F332" s="37" t="s">
        <v>35</v>
      </c>
      <c r="G332" s="188" t="s">
        <v>33</v>
      </c>
      <c r="H332" s="188">
        <v>2</v>
      </c>
      <c r="I332" s="188">
        <f t="shared" ref="I332:I334" si="47">LN(B332)</f>
        <v>-5.1159958097540823</v>
      </c>
      <c r="J332" s="188">
        <v>0.20928449536456342</v>
      </c>
      <c r="K332" s="188" t="s">
        <v>31</v>
      </c>
      <c r="L332" s="188" t="s">
        <v>31</v>
      </c>
      <c r="M332" s="188" t="s">
        <v>31</v>
      </c>
      <c r="N332" s="188"/>
      <c r="O332" s="401" t="s">
        <v>248</v>
      </c>
      <c r="P332" s="172">
        <v>6.0000000000000001E-3</v>
      </c>
      <c r="Q332" s="188"/>
      <c r="R332" s="188"/>
      <c r="S332" s="188"/>
      <c r="T332" s="188"/>
      <c r="U332" s="188"/>
    </row>
    <row r="333" spans="1:21">
      <c r="A333" s="346" t="s">
        <v>269</v>
      </c>
      <c r="B333" s="350">
        <f t="shared" si="46"/>
        <v>0.35</v>
      </c>
      <c r="C333" s="188" t="s">
        <v>39</v>
      </c>
      <c r="D333" s="188" t="s">
        <v>40</v>
      </c>
      <c r="E333" s="188" t="s">
        <v>29</v>
      </c>
      <c r="F333" s="37" t="s">
        <v>35</v>
      </c>
      <c r="G333" s="188" t="s">
        <v>33</v>
      </c>
      <c r="H333" s="188">
        <v>2</v>
      </c>
      <c r="I333" s="188">
        <f t="shared" si="47"/>
        <v>-1.0498221244986778</v>
      </c>
      <c r="J333" s="188">
        <v>0.20928449536456342</v>
      </c>
      <c r="K333" s="188" t="s">
        <v>31</v>
      </c>
      <c r="L333" s="188" t="s">
        <v>31</v>
      </c>
      <c r="M333" s="188" t="s">
        <v>31</v>
      </c>
      <c r="N333" s="188"/>
      <c r="O333" s="401" t="s">
        <v>248</v>
      </c>
      <c r="P333" s="114">
        <v>0.35</v>
      </c>
      <c r="Q333" s="188"/>
      <c r="R333" s="188"/>
      <c r="S333" s="188"/>
      <c r="T333" s="188"/>
      <c r="U333" s="188"/>
    </row>
    <row r="334" spans="1:21">
      <c r="A334" s="346" t="s">
        <v>269</v>
      </c>
      <c r="B334" s="350">
        <f t="shared" si="46"/>
        <v>0.09</v>
      </c>
      <c r="C334" s="188" t="s">
        <v>39</v>
      </c>
      <c r="D334" s="188" t="s">
        <v>40</v>
      </c>
      <c r="E334" s="188" t="s">
        <v>29</v>
      </c>
      <c r="F334" s="37" t="s">
        <v>35</v>
      </c>
      <c r="G334" s="188" t="s">
        <v>33</v>
      </c>
      <c r="H334" s="188">
        <v>2</v>
      </c>
      <c r="I334" s="188">
        <f t="shared" si="47"/>
        <v>-2.4079456086518722</v>
      </c>
      <c r="J334" s="188">
        <v>9.6436507609929598E-2</v>
      </c>
      <c r="K334" s="188" t="s">
        <v>31</v>
      </c>
      <c r="L334" s="188" t="s">
        <v>31</v>
      </c>
      <c r="M334" s="188" t="s">
        <v>31</v>
      </c>
      <c r="N334" s="188"/>
      <c r="O334" s="401" t="s">
        <v>248</v>
      </c>
      <c r="P334" s="114">
        <v>0.09</v>
      </c>
      <c r="Q334" s="188"/>
      <c r="R334" s="188"/>
      <c r="S334" s="188"/>
      <c r="T334" s="188"/>
      <c r="U334" s="188"/>
    </row>
    <row r="335" spans="1:21">
      <c r="A335" s="37" t="s">
        <v>680</v>
      </c>
      <c r="B335" s="415">
        <f>R335</f>
        <v>5.0000000000000001E-4</v>
      </c>
      <c r="C335" s="188" t="s">
        <v>37</v>
      </c>
      <c r="D335" s="188" t="s">
        <v>40</v>
      </c>
      <c r="E335" s="188" t="s">
        <v>29</v>
      </c>
      <c r="F335" s="188" t="s">
        <v>35</v>
      </c>
      <c r="G335" s="188" t="s">
        <v>33</v>
      </c>
      <c r="H335" s="188">
        <v>2</v>
      </c>
      <c r="I335" s="188">
        <f>LN(B335)</f>
        <v>-7.6009024595420822</v>
      </c>
      <c r="J335" s="188">
        <v>0.20928449536456342</v>
      </c>
      <c r="K335" s="188" t="s">
        <v>31</v>
      </c>
      <c r="L335" s="188" t="s">
        <v>31</v>
      </c>
      <c r="M335" s="188" t="s">
        <v>31</v>
      </c>
      <c r="N335" s="188"/>
      <c r="O335" s="401" t="s">
        <v>580</v>
      </c>
      <c r="P335" s="114">
        <v>0.5</v>
      </c>
      <c r="Q335" s="188" t="s">
        <v>241</v>
      </c>
      <c r="R335" s="188">
        <f>P335*0.001</f>
        <v>5.0000000000000001E-4</v>
      </c>
      <c r="S335" s="188"/>
      <c r="T335" s="188"/>
      <c r="U335" s="188"/>
    </row>
    <row r="336" spans="1:21">
      <c r="A336" s="346" t="s">
        <v>799</v>
      </c>
      <c r="B336" s="415">
        <f t="shared" ref="B336" si="48">P336</f>
        <v>5.0000000000000001E-3</v>
      </c>
      <c r="C336" s="188" t="s">
        <v>37</v>
      </c>
      <c r="D336" s="188" t="s">
        <v>40</v>
      </c>
      <c r="E336" s="188" t="s">
        <v>29</v>
      </c>
      <c r="F336" s="37" t="s">
        <v>74</v>
      </c>
      <c r="G336" s="188" t="s">
        <v>33</v>
      </c>
      <c r="H336" s="188">
        <v>2</v>
      </c>
      <c r="I336" s="188">
        <f>LN(B336)</f>
        <v>-5.2983173665480363</v>
      </c>
      <c r="J336" s="188">
        <v>0.20928449536456342</v>
      </c>
      <c r="K336" s="188" t="s">
        <v>31</v>
      </c>
      <c r="L336" s="188" t="s">
        <v>31</v>
      </c>
      <c r="M336" s="188" t="s">
        <v>31</v>
      </c>
      <c r="N336" s="188"/>
      <c r="O336" s="401" t="s">
        <v>241</v>
      </c>
      <c r="P336" s="172">
        <v>5.0000000000000001E-3</v>
      </c>
      <c r="Q336" s="188"/>
      <c r="R336" s="188"/>
      <c r="S336" s="188"/>
      <c r="T336" s="188"/>
      <c r="U336" s="188"/>
    </row>
    <row r="337" spans="1:21">
      <c r="A337" s="37" t="s">
        <v>300</v>
      </c>
      <c r="B337" s="441">
        <f>R337</f>
        <v>9.0000000000000008E-4</v>
      </c>
      <c r="C337" s="188" t="s">
        <v>37</v>
      </c>
      <c r="D337" s="188" t="s">
        <v>40</v>
      </c>
      <c r="E337" s="188" t="s">
        <v>29</v>
      </c>
      <c r="F337" s="37" t="s">
        <v>82</v>
      </c>
      <c r="G337" s="188" t="s">
        <v>33</v>
      </c>
      <c r="H337" s="188">
        <v>2</v>
      </c>
      <c r="I337" s="188">
        <f>LN(B337)</f>
        <v>-7.0131157946399636</v>
      </c>
      <c r="J337" s="188">
        <v>0.20928449536456342</v>
      </c>
      <c r="K337" s="188" t="s">
        <v>31</v>
      </c>
      <c r="L337" s="188" t="s">
        <v>31</v>
      </c>
      <c r="M337" s="188" t="s">
        <v>31</v>
      </c>
      <c r="N337" s="188"/>
      <c r="O337" s="401" t="s">
        <v>580</v>
      </c>
      <c r="P337" s="114">
        <v>0.9</v>
      </c>
      <c r="Q337" s="188" t="s">
        <v>241</v>
      </c>
      <c r="R337" s="188">
        <f>P337*0.001</f>
        <v>9.0000000000000008E-4</v>
      </c>
      <c r="S337" s="188"/>
      <c r="T337" s="188"/>
      <c r="U337" s="188"/>
    </row>
    <row r="338" spans="1:21">
      <c r="A338" s="37" t="s">
        <v>545</v>
      </c>
      <c r="B338" s="188">
        <f>R338</f>
        <v>2E-3</v>
      </c>
      <c r="C338" s="188" t="s">
        <v>37</v>
      </c>
      <c r="D338" s="188" t="s">
        <v>40</v>
      </c>
      <c r="E338" s="188" t="s">
        <v>29</v>
      </c>
      <c r="F338" s="188" t="s">
        <v>35</v>
      </c>
      <c r="G338" s="188" t="s">
        <v>33</v>
      </c>
      <c r="H338" s="188">
        <v>2</v>
      </c>
      <c r="I338" s="188">
        <f>LN(B338)</f>
        <v>-6.2146080984221914</v>
      </c>
      <c r="J338" s="188">
        <v>0.20928449536456342</v>
      </c>
      <c r="K338" s="188" t="s">
        <v>31</v>
      </c>
      <c r="L338" s="188" t="s">
        <v>31</v>
      </c>
      <c r="M338" s="188" t="s">
        <v>31</v>
      </c>
      <c r="N338" s="188"/>
      <c r="O338" s="401" t="s">
        <v>580</v>
      </c>
      <c r="P338" s="114">
        <v>2</v>
      </c>
      <c r="Q338" s="188" t="s">
        <v>241</v>
      </c>
      <c r="R338" s="188">
        <f>P338*0.001</f>
        <v>2E-3</v>
      </c>
      <c r="S338" s="188"/>
      <c r="T338" s="188"/>
      <c r="U338" s="188"/>
    </row>
    <row r="339" spans="1:21">
      <c r="A339" s="346" t="s">
        <v>202</v>
      </c>
      <c r="B339" s="188">
        <f>P339</f>
        <v>1</v>
      </c>
      <c r="C339" s="188" t="s">
        <v>37</v>
      </c>
      <c r="D339" s="188" t="s">
        <v>40</v>
      </c>
      <c r="E339" s="188" t="s">
        <v>29</v>
      </c>
      <c r="F339" s="37" t="s">
        <v>35</v>
      </c>
      <c r="G339" s="188" t="s">
        <v>33</v>
      </c>
      <c r="H339" s="188">
        <v>2</v>
      </c>
      <c r="I339" s="188">
        <f t="shared" ref="I339:I340" si="49">LN(B339)</f>
        <v>0</v>
      </c>
      <c r="J339" s="188">
        <v>0.20928449536456342</v>
      </c>
      <c r="K339" s="188" t="s">
        <v>31</v>
      </c>
      <c r="L339" s="188" t="s">
        <v>31</v>
      </c>
      <c r="M339" s="188" t="s">
        <v>31</v>
      </c>
      <c r="N339" s="188"/>
      <c r="O339" s="401" t="s">
        <v>241</v>
      </c>
      <c r="P339" s="114">
        <v>1</v>
      </c>
      <c r="Q339" s="188"/>
      <c r="R339" s="188"/>
      <c r="S339" s="188"/>
      <c r="T339" s="188"/>
      <c r="U339" s="188"/>
    </row>
    <row r="340" spans="1:21">
      <c r="A340" s="188" t="s">
        <v>784</v>
      </c>
      <c r="B340" s="415">
        <f t="shared" ref="B340" si="50">P340</f>
        <v>3.0000000000000001E-3</v>
      </c>
      <c r="C340" s="188" t="s">
        <v>37</v>
      </c>
      <c r="D340" s="408" t="s">
        <v>2</v>
      </c>
      <c r="E340" s="188" t="s">
        <v>29</v>
      </c>
      <c r="F340" s="37" t="s">
        <v>74</v>
      </c>
      <c r="G340" s="188" t="s">
        <v>33</v>
      </c>
      <c r="H340" s="188">
        <v>2</v>
      </c>
      <c r="I340" s="188">
        <f t="shared" si="49"/>
        <v>-5.8091429903140277</v>
      </c>
      <c r="J340" s="188">
        <v>0.20928449536456342</v>
      </c>
      <c r="K340" s="188" t="s">
        <v>31</v>
      </c>
      <c r="L340" s="188" t="s">
        <v>31</v>
      </c>
      <c r="M340" s="188" t="s">
        <v>31</v>
      </c>
      <c r="N340" s="188"/>
      <c r="O340" s="418" t="s">
        <v>241</v>
      </c>
      <c r="P340" s="173">
        <v>3.0000000000000001E-3</v>
      </c>
      <c r="Q340" s="188"/>
      <c r="R340" s="188"/>
      <c r="S340" s="188"/>
      <c r="T340" s="188"/>
      <c r="U340" s="188"/>
    </row>
    <row r="341" spans="1:21" s="70" customFormat="1">
      <c r="A341" s="370" t="s">
        <v>5</v>
      </c>
      <c r="B341" s="371" t="s">
        <v>960</v>
      </c>
      <c r="C341" s="353"/>
      <c r="D341" s="353"/>
      <c r="E341" s="353"/>
      <c r="F341" s="353"/>
      <c r="G341" s="353"/>
      <c r="H341" s="353"/>
      <c r="I341" s="353"/>
      <c r="J341" s="353"/>
      <c r="K341" s="353"/>
      <c r="L341" s="353"/>
      <c r="M341" s="353"/>
      <c r="N341" s="353"/>
      <c r="O341" s="353"/>
      <c r="P341" s="353"/>
      <c r="Q341" s="353"/>
      <c r="R341" s="353"/>
      <c r="S341" s="353"/>
      <c r="T341" s="353"/>
      <c r="U341" s="353"/>
    </row>
    <row r="342" spans="1:21">
      <c r="A342" s="346" t="s">
        <v>7</v>
      </c>
      <c r="B342" s="188" t="s">
        <v>786</v>
      </c>
      <c r="C342" s="345"/>
      <c r="D342" s="188"/>
      <c r="E342" s="188"/>
      <c r="F342" s="188"/>
      <c r="G342" s="188"/>
      <c r="H342" s="188"/>
      <c r="I342" s="188"/>
      <c r="J342" s="188"/>
      <c r="K342" s="188"/>
      <c r="L342" s="188"/>
      <c r="M342" s="188"/>
      <c r="N342" s="188"/>
      <c r="O342" s="188"/>
      <c r="P342" s="188"/>
      <c r="Q342" s="188"/>
      <c r="R342" s="188"/>
      <c r="S342" s="188"/>
      <c r="T342" s="188"/>
      <c r="U342" s="188"/>
    </row>
    <row r="343" spans="1:21">
      <c r="A343" s="424" t="s">
        <v>9</v>
      </c>
      <c r="B343" s="188" t="s">
        <v>961</v>
      </c>
      <c r="C343" s="345"/>
      <c r="D343" s="188"/>
      <c r="E343" s="188"/>
      <c r="F343" s="188"/>
      <c r="G343" s="188"/>
      <c r="H343" s="188"/>
      <c r="I343" s="188"/>
      <c r="J343" s="188"/>
      <c r="K343" s="188"/>
      <c r="L343" s="188"/>
      <c r="M343" s="188"/>
      <c r="N343" s="188"/>
      <c r="O343" s="188"/>
      <c r="P343" s="188"/>
      <c r="Q343" s="188"/>
      <c r="R343" s="188"/>
      <c r="S343" s="188"/>
      <c r="T343" s="188"/>
      <c r="U343" s="188"/>
    </row>
    <row r="344" spans="1:21" ht="15.75" customHeight="1">
      <c r="A344" s="346" t="s">
        <v>11</v>
      </c>
      <c r="B344" s="347" t="s">
        <v>796</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46" t="s">
        <v>13</v>
      </c>
      <c r="B345" s="188" t="s">
        <v>14</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46" t="s">
        <v>15</v>
      </c>
      <c r="B346" s="415">
        <f>B351</f>
        <v>6.0000000000000001E-3</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46" t="s">
        <v>16</v>
      </c>
      <c r="B347" s="188" t="s">
        <v>17</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46" t="s">
        <v>18</v>
      </c>
      <c r="B348" s="188" t="s">
        <v>609</v>
      </c>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43" t="s">
        <v>19</v>
      </c>
      <c r="B349" s="188"/>
      <c r="C349" s="188"/>
      <c r="D349" s="188"/>
      <c r="E349" s="188"/>
      <c r="F349" s="188"/>
      <c r="G349" s="188"/>
      <c r="H349" s="188"/>
      <c r="I349" s="188"/>
      <c r="J349" s="188"/>
      <c r="K349" s="188"/>
      <c r="L349" s="188"/>
      <c r="M349" s="188"/>
      <c r="N349" s="188"/>
      <c r="O349" s="188"/>
      <c r="P349" s="188"/>
      <c r="Q349" s="188"/>
      <c r="R349" s="188"/>
      <c r="S349" s="188"/>
      <c r="T349" s="188"/>
      <c r="U349" s="188"/>
    </row>
    <row r="350" spans="1:21">
      <c r="A350" s="344" t="s">
        <v>20</v>
      </c>
      <c r="B350" s="344" t="s">
        <v>21</v>
      </c>
      <c r="C350" s="344" t="s">
        <v>18</v>
      </c>
      <c r="D350" s="344" t="s">
        <v>22</v>
      </c>
      <c r="E350" s="344" t="s">
        <v>7</v>
      </c>
      <c r="F350" s="344" t="s">
        <v>13</v>
      </c>
      <c r="G350" s="344" t="s">
        <v>16</v>
      </c>
      <c r="H350" s="344" t="s">
        <v>23</v>
      </c>
      <c r="I350" s="344" t="s">
        <v>24</v>
      </c>
      <c r="J350" s="344" t="s">
        <v>25</v>
      </c>
      <c r="K350" s="344" t="s">
        <v>26</v>
      </c>
      <c r="L350" s="344" t="s">
        <v>27</v>
      </c>
      <c r="M350" s="344" t="s">
        <v>28</v>
      </c>
      <c r="N350" s="344" t="s">
        <v>11</v>
      </c>
      <c r="O350" s="188"/>
      <c r="P350" s="188"/>
      <c r="Q350" s="188"/>
      <c r="R350" s="188"/>
      <c r="S350" s="188"/>
      <c r="T350" s="415"/>
      <c r="U350" s="188"/>
    </row>
    <row r="351" spans="1:21">
      <c r="A351" s="192" t="s">
        <v>960</v>
      </c>
      <c r="B351" s="415">
        <f>P351</f>
        <v>6.0000000000000001E-3</v>
      </c>
      <c r="C351" s="188" t="s">
        <v>609</v>
      </c>
      <c r="D351" s="408" t="s">
        <v>2</v>
      </c>
      <c r="E351" s="188" t="s">
        <v>29</v>
      </c>
      <c r="F351" s="188" t="s">
        <v>14</v>
      </c>
      <c r="G351" s="188" t="s">
        <v>30</v>
      </c>
      <c r="H351" s="188">
        <v>1</v>
      </c>
      <c r="I351" s="188">
        <f>B351</f>
        <v>6.0000000000000001E-3</v>
      </c>
      <c r="J351" s="188" t="s">
        <v>31</v>
      </c>
      <c r="K351" s="188" t="s">
        <v>31</v>
      </c>
      <c r="L351" s="188" t="s">
        <v>31</v>
      </c>
      <c r="M351" s="188" t="s">
        <v>31</v>
      </c>
      <c r="N351" s="188"/>
      <c r="O351" s="396" t="s">
        <v>823</v>
      </c>
      <c r="P351" s="454">
        <v>6.0000000000000001E-3</v>
      </c>
      <c r="Q351" s="188"/>
      <c r="R351" s="188"/>
      <c r="S351" s="188"/>
      <c r="T351" s="188"/>
      <c r="U351" s="188"/>
    </row>
    <row r="352" spans="1:21">
      <c r="A352" s="37" t="s">
        <v>848</v>
      </c>
      <c r="B352" s="188">
        <f>P352</f>
        <v>0.01</v>
      </c>
      <c r="C352" s="188" t="s">
        <v>37</v>
      </c>
      <c r="D352" s="188" t="s">
        <v>40</v>
      </c>
      <c r="E352" s="188" t="s">
        <v>29</v>
      </c>
      <c r="F352" s="188" t="s">
        <v>82</v>
      </c>
      <c r="G352" s="188" t="s">
        <v>33</v>
      </c>
      <c r="H352" s="188">
        <v>2</v>
      </c>
      <c r="I352" s="188">
        <f t="shared" ref="I352:I362" si="51">LN(B352)</f>
        <v>-4.6051701859880909</v>
      </c>
      <c r="J352" s="413">
        <v>0.22516660498395411</v>
      </c>
      <c r="K352" s="188" t="s">
        <v>31</v>
      </c>
      <c r="L352" s="188" t="s">
        <v>31</v>
      </c>
      <c r="M352" s="188" t="s">
        <v>31</v>
      </c>
      <c r="N352" s="188"/>
      <c r="O352" s="401" t="s">
        <v>241</v>
      </c>
      <c r="P352" s="414">
        <v>0.01</v>
      </c>
      <c r="Q352" s="188"/>
      <c r="R352" s="188"/>
      <c r="S352" s="188"/>
      <c r="T352" s="188"/>
      <c r="U352" s="188"/>
    </row>
    <row r="353" spans="1:21">
      <c r="A353" s="346" t="s">
        <v>269</v>
      </c>
      <c r="B353" s="350">
        <f>P353</f>
        <v>0.13</v>
      </c>
      <c r="C353" s="188" t="s">
        <v>39</v>
      </c>
      <c r="D353" s="188" t="s">
        <v>40</v>
      </c>
      <c r="E353" s="188" t="s">
        <v>29</v>
      </c>
      <c r="F353" s="37" t="s">
        <v>35</v>
      </c>
      <c r="G353" s="188" t="s">
        <v>33</v>
      </c>
      <c r="H353" s="188">
        <v>2</v>
      </c>
      <c r="I353" s="188">
        <f t="shared" si="51"/>
        <v>-2.0402208285265546</v>
      </c>
      <c r="J353" s="413">
        <v>0.22516660498395411</v>
      </c>
      <c r="K353" s="188" t="s">
        <v>31</v>
      </c>
      <c r="L353" s="188" t="s">
        <v>31</v>
      </c>
      <c r="M353" s="188" t="s">
        <v>31</v>
      </c>
      <c r="N353" s="188"/>
      <c r="O353" s="401" t="s">
        <v>248</v>
      </c>
      <c r="P353" s="414">
        <v>0.13</v>
      </c>
      <c r="Q353" s="188"/>
      <c r="R353" s="188"/>
      <c r="S353" s="188"/>
      <c r="T353" s="188"/>
      <c r="U353" s="188"/>
    </row>
    <row r="354" spans="1:21">
      <c r="A354" s="37" t="s">
        <v>962</v>
      </c>
      <c r="B354" s="415">
        <f>R354</f>
        <v>2.1000000000000001E-4</v>
      </c>
      <c r="C354" s="188" t="s">
        <v>37</v>
      </c>
      <c r="D354" s="188" t="s">
        <v>40</v>
      </c>
      <c r="E354" s="188" t="s">
        <v>29</v>
      </c>
      <c r="F354" s="188" t="s">
        <v>35</v>
      </c>
      <c r="G354" s="188" t="s">
        <v>33</v>
      </c>
      <c r="H354" s="188">
        <v>2</v>
      </c>
      <c r="I354" s="188">
        <f t="shared" si="51"/>
        <v>-8.468403027246806</v>
      </c>
      <c r="J354" s="413">
        <v>0.22516660498395411</v>
      </c>
      <c r="K354" s="188" t="s">
        <v>31</v>
      </c>
      <c r="L354" s="188" t="s">
        <v>31</v>
      </c>
      <c r="M354" s="188" t="s">
        <v>31</v>
      </c>
      <c r="N354" s="188"/>
      <c r="O354" s="401" t="s">
        <v>580</v>
      </c>
      <c r="P354" s="452">
        <v>0.21</v>
      </c>
      <c r="Q354" s="188" t="s">
        <v>241</v>
      </c>
      <c r="R354" s="415">
        <f>0.001*P354</f>
        <v>2.1000000000000001E-4</v>
      </c>
      <c r="S354" s="188"/>
      <c r="T354" s="188"/>
      <c r="U354" s="188"/>
    </row>
    <row r="355" spans="1:21">
      <c r="A355" s="37" t="s">
        <v>963</v>
      </c>
      <c r="B355" s="415">
        <f>P355</f>
        <v>1E-3</v>
      </c>
      <c r="C355" s="188" t="s">
        <v>37</v>
      </c>
      <c r="D355" s="188" t="s">
        <v>40</v>
      </c>
      <c r="E355" s="188" t="s">
        <v>29</v>
      </c>
      <c r="F355" s="188" t="s">
        <v>35</v>
      </c>
      <c r="G355" s="188" t="s">
        <v>33</v>
      </c>
      <c r="H355" s="188">
        <v>2</v>
      </c>
      <c r="I355" s="188">
        <f t="shared" si="51"/>
        <v>-6.9077552789821368</v>
      </c>
      <c r="J355" s="413">
        <v>0.22516660498395411</v>
      </c>
      <c r="K355" s="188" t="s">
        <v>31</v>
      </c>
      <c r="L355" s="188" t="s">
        <v>31</v>
      </c>
      <c r="M355" s="188" t="s">
        <v>31</v>
      </c>
      <c r="N355" s="188"/>
      <c r="O355" s="401" t="s">
        <v>241</v>
      </c>
      <c r="P355" s="452">
        <v>1E-3</v>
      </c>
      <c r="Q355" s="188"/>
      <c r="R355" s="188"/>
      <c r="S355" s="188"/>
      <c r="T355" s="188"/>
      <c r="U355" s="188"/>
    </row>
    <row r="356" spans="1:21">
      <c r="A356" s="37" t="s">
        <v>964</v>
      </c>
      <c r="B356" s="415">
        <f>P356</f>
        <v>8.0000000000000004E-4</v>
      </c>
      <c r="C356" s="188" t="s">
        <v>37</v>
      </c>
      <c r="D356" s="188" t="s">
        <v>40</v>
      </c>
      <c r="E356" s="188" t="s">
        <v>29</v>
      </c>
      <c r="F356" s="188" t="s">
        <v>35</v>
      </c>
      <c r="G356" s="188" t="s">
        <v>33</v>
      </c>
      <c r="H356" s="188">
        <v>2</v>
      </c>
      <c r="I356" s="188">
        <f t="shared" si="51"/>
        <v>-7.1308988302963465</v>
      </c>
      <c r="J356" s="413">
        <v>0.22516660498395411</v>
      </c>
      <c r="K356" s="188" t="s">
        <v>31</v>
      </c>
      <c r="L356" s="188" t="s">
        <v>31</v>
      </c>
      <c r="M356" s="188" t="s">
        <v>31</v>
      </c>
      <c r="N356" s="188"/>
      <c r="O356" s="401" t="s">
        <v>241</v>
      </c>
      <c r="P356" s="452">
        <v>8.0000000000000004E-4</v>
      </c>
      <c r="Q356" s="188"/>
      <c r="R356" s="188"/>
      <c r="S356" s="188"/>
      <c r="T356" s="188"/>
      <c r="U356" s="188"/>
    </row>
    <row r="357" spans="1:21">
      <c r="A357" s="37" t="s">
        <v>191</v>
      </c>
      <c r="B357" s="415">
        <f>P357</f>
        <v>7.3000000000000001E-3</v>
      </c>
      <c r="C357" s="188" t="s">
        <v>37</v>
      </c>
      <c r="D357" s="188" t="s">
        <v>40</v>
      </c>
      <c r="E357" s="188" t="s">
        <v>29</v>
      </c>
      <c r="F357" s="188" t="s">
        <v>35</v>
      </c>
      <c r="G357" s="188" t="s">
        <v>33</v>
      </c>
      <c r="H357" s="188">
        <v>2</v>
      </c>
      <c r="I357" s="188">
        <f t="shared" si="51"/>
        <v>-4.9198809308277918</v>
      </c>
      <c r="J357" s="413">
        <v>0.22516660498395411</v>
      </c>
      <c r="K357" s="188" t="s">
        <v>31</v>
      </c>
      <c r="L357" s="188" t="s">
        <v>31</v>
      </c>
      <c r="M357" s="188" t="s">
        <v>31</v>
      </c>
      <c r="N357" s="188"/>
      <c r="O357" s="401" t="s">
        <v>241</v>
      </c>
      <c r="P357" s="414">
        <v>7.3000000000000001E-3</v>
      </c>
      <c r="Q357" s="188"/>
      <c r="R357" s="188"/>
      <c r="S357" s="188"/>
      <c r="T357" s="188"/>
      <c r="U357" s="188"/>
    </row>
    <row r="358" spans="1:21">
      <c r="A358" s="37" t="s">
        <v>965</v>
      </c>
      <c r="B358" s="415">
        <f>R358</f>
        <v>4.2000000000000004E-5</v>
      </c>
      <c r="C358" s="188" t="s">
        <v>37</v>
      </c>
      <c r="D358" s="188" t="s">
        <v>43</v>
      </c>
      <c r="E358" s="188" t="s">
        <v>44</v>
      </c>
      <c r="F358" s="188" t="s">
        <v>29</v>
      </c>
      <c r="G358" s="188" t="s">
        <v>45</v>
      </c>
      <c r="H358" s="188">
        <v>2</v>
      </c>
      <c r="I358" s="188">
        <f t="shared" si="51"/>
        <v>-10.077840939680906</v>
      </c>
      <c r="J358" s="413">
        <v>0.10344080432788608</v>
      </c>
      <c r="K358" s="188" t="s">
        <v>31</v>
      </c>
      <c r="L358" s="188" t="s">
        <v>31</v>
      </c>
      <c r="M358" s="188" t="s">
        <v>31</v>
      </c>
      <c r="N358" s="188"/>
      <c r="O358" s="416" t="s">
        <v>580</v>
      </c>
      <c r="P358" s="417">
        <v>4.2000000000000003E-2</v>
      </c>
      <c r="Q358" s="188" t="s">
        <v>241</v>
      </c>
      <c r="R358" s="415">
        <f t="shared" ref="R358:R361" si="52">0.001*P358</f>
        <v>4.2000000000000004E-5</v>
      </c>
      <c r="S358" s="188"/>
      <c r="T358" s="188"/>
      <c r="U358" s="188"/>
    </row>
    <row r="359" spans="1:21">
      <c r="A359" s="37" t="s">
        <v>77</v>
      </c>
      <c r="B359" s="415">
        <f t="shared" ref="B359:B361" si="53">R359</f>
        <v>4.6000000000000001E-4</v>
      </c>
      <c r="C359" s="188" t="s">
        <v>37</v>
      </c>
      <c r="D359" s="188" t="s">
        <v>43</v>
      </c>
      <c r="E359" s="188" t="s">
        <v>44</v>
      </c>
      <c r="F359" s="188" t="s">
        <v>29</v>
      </c>
      <c r="G359" s="188" t="s">
        <v>45</v>
      </c>
      <c r="H359" s="188">
        <v>2</v>
      </c>
      <c r="I359" s="188">
        <f t="shared" si="51"/>
        <v>-7.6842840684811335</v>
      </c>
      <c r="J359" s="413">
        <v>0.10344080432788608</v>
      </c>
      <c r="K359" s="188" t="s">
        <v>31</v>
      </c>
      <c r="L359" s="188" t="s">
        <v>31</v>
      </c>
      <c r="M359" s="188" t="s">
        <v>31</v>
      </c>
      <c r="N359" s="188"/>
      <c r="O359" s="416" t="s">
        <v>580</v>
      </c>
      <c r="P359" s="417">
        <v>0.46</v>
      </c>
      <c r="Q359" s="188" t="s">
        <v>241</v>
      </c>
      <c r="R359" s="415">
        <f t="shared" si="52"/>
        <v>4.6000000000000001E-4</v>
      </c>
      <c r="S359" s="188"/>
      <c r="T359" s="188"/>
      <c r="U359" s="188"/>
    </row>
    <row r="360" spans="1:21">
      <c r="A360" s="37" t="s">
        <v>966</v>
      </c>
      <c r="B360" s="415">
        <f t="shared" si="53"/>
        <v>2.9E-4</v>
      </c>
      <c r="C360" s="188" t="s">
        <v>37</v>
      </c>
      <c r="D360" s="188" t="s">
        <v>43</v>
      </c>
      <c r="E360" s="188" t="s">
        <v>44</v>
      </c>
      <c r="F360" s="188" t="s">
        <v>29</v>
      </c>
      <c r="G360" s="188" t="s">
        <v>45</v>
      </c>
      <c r="H360" s="188">
        <v>2</v>
      </c>
      <c r="I360" s="188">
        <f t="shared" si="51"/>
        <v>-8.145629634983754</v>
      </c>
      <c r="J360" s="413">
        <v>0.10344080432788608</v>
      </c>
      <c r="K360" s="188" t="s">
        <v>31</v>
      </c>
      <c r="L360" s="188" t="s">
        <v>31</v>
      </c>
      <c r="M360" s="188" t="s">
        <v>31</v>
      </c>
      <c r="N360" s="188"/>
      <c r="O360" s="416" t="s">
        <v>580</v>
      </c>
      <c r="P360" s="417">
        <v>0.28999999999999998</v>
      </c>
      <c r="Q360" s="188" t="s">
        <v>241</v>
      </c>
      <c r="R360" s="415">
        <f t="shared" si="52"/>
        <v>2.9E-4</v>
      </c>
      <c r="S360" s="188"/>
      <c r="T360" s="188"/>
      <c r="U360" s="188"/>
    </row>
    <row r="361" spans="1:21">
      <c r="A361" s="37" t="s">
        <v>758</v>
      </c>
      <c r="B361" s="415">
        <f t="shared" si="53"/>
        <v>1.7000000000000001E-4</v>
      </c>
      <c r="C361" s="188" t="s">
        <v>37</v>
      </c>
      <c r="D361" s="188" t="s">
        <v>43</v>
      </c>
      <c r="E361" s="188" t="s">
        <v>44</v>
      </c>
      <c r="F361" s="188" t="s">
        <v>29</v>
      </c>
      <c r="G361" s="188" t="s">
        <v>45</v>
      </c>
      <c r="H361" s="188">
        <v>2</v>
      </c>
      <c r="I361" s="188">
        <f t="shared" si="51"/>
        <v>-8.6797121209140116</v>
      </c>
      <c r="J361" s="413">
        <v>0.10344080432788608</v>
      </c>
      <c r="K361" s="188" t="s">
        <v>31</v>
      </c>
      <c r="L361" s="188" t="s">
        <v>31</v>
      </c>
      <c r="M361" s="188" t="s">
        <v>31</v>
      </c>
      <c r="N361" s="188"/>
      <c r="O361" s="416" t="s">
        <v>580</v>
      </c>
      <c r="P361" s="417">
        <v>0.17</v>
      </c>
      <c r="Q361" s="188" t="s">
        <v>241</v>
      </c>
      <c r="R361" s="415">
        <f t="shared" si="52"/>
        <v>1.7000000000000001E-4</v>
      </c>
      <c r="S361" s="188"/>
      <c r="T361" s="188"/>
      <c r="U361" s="188"/>
    </row>
    <row r="362" spans="1:21">
      <c r="A362" s="188" t="s">
        <v>790</v>
      </c>
      <c r="B362" s="415">
        <f t="shared" ref="B362" si="54">P362</f>
        <v>2.3E-3</v>
      </c>
      <c r="C362" s="188" t="s">
        <v>37</v>
      </c>
      <c r="D362" s="408" t="s">
        <v>2</v>
      </c>
      <c r="E362" s="188" t="s">
        <v>29</v>
      </c>
      <c r="F362" s="37" t="s">
        <v>74</v>
      </c>
      <c r="G362" s="188" t="s">
        <v>33</v>
      </c>
      <c r="H362" s="188">
        <v>2</v>
      </c>
      <c r="I362" s="188">
        <f t="shared" si="51"/>
        <v>-6.074846156047033</v>
      </c>
      <c r="J362" s="188">
        <v>0.11269427669584645</v>
      </c>
      <c r="K362" s="188" t="s">
        <v>31</v>
      </c>
      <c r="L362" s="188" t="s">
        <v>31</v>
      </c>
      <c r="M362" s="188" t="s">
        <v>31</v>
      </c>
      <c r="N362" s="188"/>
      <c r="O362" s="418" t="s">
        <v>241</v>
      </c>
      <c r="P362" s="453">
        <v>2.3E-3</v>
      </c>
      <c r="Q362" s="188"/>
      <c r="R362" s="188"/>
      <c r="S362" s="188"/>
      <c r="T362" s="188"/>
      <c r="U362" s="188"/>
    </row>
  </sheetData>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D64B7-7CAF-4DAD-A3B2-8A3EEA995B68}">
  <sheetPr>
    <tabColor theme="8"/>
  </sheetPr>
  <dimension ref="A1:AC57"/>
  <sheetViews>
    <sheetView zoomScale="85" zoomScaleNormal="85" workbookViewId="0">
      <selection activeCell="I13" sqref="I13:I30"/>
    </sheetView>
  </sheetViews>
  <sheetFormatPr defaultColWidth="9.140625" defaultRowHeight="12.95"/>
  <cols>
    <col min="1" max="1" width="69.7109375" style="188" bestFit="1" customWidth="1"/>
    <col min="2" max="2" width="62" style="188" bestFit="1" customWidth="1"/>
    <col min="3" max="3" width="13.28515625" style="188" bestFit="1" customWidth="1"/>
    <col min="4" max="4" width="37.140625" style="188" bestFit="1" customWidth="1"/>
    <col min="5" max="5" width="11" style="188" bestFit="1" customWidth="1"/>
    <col min="6" max="6" width="23.85546875" style="188" bestFit="1" customWidth="1"/>
    <col min="7" max="7" width="13.42578125" style="188" bestFit="1" customWidth="1"/>
    <col min="8" max="8" width="17.7109375" style="188" bestFit="1" customWidth="1"/>
    <col min="9" max="9" width="7" style="188" bestFit="1" customWidth="1"/>
    <col min="10" max="10" width="12" style="188" bestFit="1" customWidth="1"/>
    <col min="11" max="13" width="10.85546875" style="188" bestFit="1" customWidth="1"/>
    <col min="14" max="23" width="9.140625" style="188"/>
    <col min="24" max="24" width="0" style="188" hidden="1" customWidth="1"/>
    <col min="25" max="16384" width="9.14062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F179AB0C5AB040DDB7D6CE217C23DBA5</v>
      </c>
    </row>
    <row r="2" spans="1:26">
      <c r="A2" s="370" t="s">
        <v>5</v>
      </c>
      <c r="B2" s="371" t="s">
        <v>774</v>
      </c>
      <c r="C2" s="372"/>
      <c r="D2" s="353"/>
      <c r="E2" s="353"/>
      <c r="F2" s="353"/>
      <c r="G2" s="353"/>
      <c r="H2" s="353"/>
      <c r="I2" s="353"/>
      <c r="J2" s="353"/>
      <c r="K2" s="353"/>
      <c r="L2" s="353"/>
      <c r="M2" s="353"/>
    </row>
    <row r="3" spans="1:26">
      <c r="A3" s="346" t="s">
        <v>7</v>
      </c>
      <c r="B3" s="188" t="s">
        <v>786</v>
      </c>
      <c r="C3" s="345"/>
    </row>
    <row r="4" spans="1:26">
      <c r="A4" s="346" t="s">
        <v>9</v>
      </c>
      <c r="B4" s="188" t="s">
        <v>967</v>
      </c>
      <c r="C4" s="345"/>
    </row>
    <row r="5" spans="1:26" ht="26.1">
      <c r="A5" s="346" t="s">
        <v>11</v>
      </c>
      <c r="B5" s="347" t="s">
        <v>834</v>
      </c>
    </row>
    <row r="6" spans="1:26">
      <c r="A6" s="346" t="s">
        <v>13</v>
      </c>
      <c r="B6" s="188" t="s">
        <v>14</v>
      </c>
    </row>
    <row r="7" spans="1:26">
      <c r="A7" s="346" t="s">
        <v>15</v>
      </c>
      <c r="B7" s="188">
        <v>1</v>
      </c>
    </row>
    <row r="8" spans="1:26">
      <c r="A8" s="346" t="s">
        <v>16</v>
      </c>
      <c r="B8" s="188" t="s">
        <v>17</v>
      </c>
    </row>
    <row r="9" spans="1:26">
      <c r="A9" s="346" t="s">
        <v>18</v>
      </c>
      <c r="B9" s="188" t="s">
        <v>18</v>
      </c>
    </row>
    <row r="10" spans="1:26">
      <c r="A10" s="343" t="s">
        <v>19</v>
      </c>
    </row>
    <row r="11" spans="1:26">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26">
      <c r="A12" s="371" t="s">
        <v>774</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95" t="s">
        <v>794</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96" t="s">
        <v>968</v>
      </c>
      <c r="V13" s="396" t="s">
        <v>580</v>
      </c>
      <c r="W13" s="397">
        <v>78</v>
      </c>
      <c r="Y13" s="188" t="s">
        <v>241</v>
      </c>
      <c r="Z13" s="188">
        <f>0.001*W13</f>
        <v>7.8E-2</v>
      </c>
    </row>
    <row r="14" spans="1:26">
      <c r="A14" s="395" t="s">
        <v>819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96" t="s">
        <v>969</v>
      </c>
      <c r="V14" s="396" t="s">
        <v>580</v>
      </c>
      <c r="W14" s="397">
        <v>98</v>
      </c>
      <c r="Y14" s="188" t="s">
        <v>241</v>
      </c>
      <c r="Z14" s="188">
        <f>0.001*W14</f>
        <v>9.8000000000000004E-2</v>
      </c>
    </row>
    <row r="15" spans="1:26">
      <c r="A15" s="398" t="s">
        <v>835</v>
      </c>
      <c r="B15" s="188">
        <f t="shared" si="0"/>
        <v>0.1</v>
      </c>
      <c r="C15" s="188" t="s">
        <v>37</v>
      </c>
      <c r="D15" s="188" t="s">
        <v>40</v>
      </c>
      <c r="E15" s="188" t="s">
        <v>29</v>
      </c>
      <c r="F15" s="37" t="s">
        <v>59</v>
      </c>
      <c r="G15" s="188" t="s">
        <v>33</v>
      </c>
      <c r="H15" s="188">
        <v>1</v>
      </c>
      <c r="I15" s="188">
        <f t="shared" si="1"/>
        <v>0.1</v>
      </c>
      <c r="J15" s="188" t="s">
        <v>31</v>
      </c>
      <c r="K15" s="188" t="s">
        <v>31</v>
      </c>
      <c r="L15" s="188" t="s">
        <v>31</v>
      </c>
      <c r="M15" s="188" t="s">
        <v>31</v>
      </c>
      <c r="U15" s="396" t="s">
        <v>970</v>
      </c>
      <c r="V15" s="396" t="s">
        <v>241</v>
      </c>
      <c r="W15" s="397">
        <v>0.1</v>
      </c>
      <c r="Y15" s="188" t="s">
        <v>241</v>
      </c>
      <c r="Z15" s="188">
        <f>W15</f>
        <v>0.1</v>
      </c>
    </row>
    <row r="16" spans="1:26">
      <c r="A16" s="395" t="s">
        <v>971</v>
      </c>
      <c r="B16" s="188">
        <f t="shared" si="0"/>
        <v>0.19</v>
      </c>
      <c r="C16" s="188" t="s">
        <v>37</v>
      </c>
      <c r="D16" s="188" t="s">
        <v>2</v>
      </c>
      <c r="E16" s="188" t="s">
        <v>29</v>
      </c>
      <c r="F16" s="37" t="s">
        <v>14</v>
      </c>
      <c r="G16" s="188" t="s">
        <v>33</v>
      </c>
      <c r="H16" s="188">
        <v>1</v>
      </c>
      <c r="I16" s="188">
        <f t="shared" si="1"/>
        <v>0.19</v>
      </c>
      <c r="J16" s="188" t="s">
        <v>31</v>
      </c>
      <c r="K16" s="188" t="s">
        <v>31</v>
      </c>
      <c r="L16" s="188" t="s">
        <v>31</v>
      </c>
      <c r="M16" s="188" t="s">
        <v>31</v>
      </c>
      <c r="U16" s="396" t="s">
        <v>972</v>
      </c>
      <c r="V16" s="396" t="s">
        <v>241</v>
      </c>
      <c r="W16" s="397">
        <v>0.19</v>
      </c>
      <c r="Y16" s="188" t="s">
        <v>241</v>
      </c>
      <c r="Z16" s="188">
        <f>W16</f>
        <v>0.19</v>
      </c>
    </row>
    <row r="17" spans="1:29">
      <c r="A17" s="456" t="s">
        <v>973</v>
      </c>
      <c r="B17" s="188">
        <f t="shared" si="0"/>
        <v>2.6437500000000003E-2</v>
      </c>
      <c r="C17" s="377" t="s">
        <v>609</v>
      </c>
      <c r="D17" s="377" t="s">
        <v>2</v>
      </c>
      <c r="E17" s="377" t="s">
        <v>29</v>
      </c>
      <c r="F17" s="47" t="s">
        <v>14</v>
      </c>
      <c r="G17" s="377" t="s">
        <v>33</v>
      </c>
      <c r="H17" s="188">
        <v>1</v>
      </c>
      <c r="I17" s="188">
        <f t="shared" si="1"/>
        <v>2.6437500000000003E-2</v>
      </c>
      <c r="J17" s="377" t="s">
        <v>31</v>
      </c>
      <c r="K17" s="377" t="s">
        <v>31</v>
      </c>
      <c r="L17" s="377" t="s">
        <v>31</v>
      </c>
      <c r="M17" s="377" t="s">
        <v>31</v>
      </c>
      <c r="N17" s="377"/>
      <c r="O17" s="377" t="s">
        <v>974</v>
      </c>
      <c r="P17" s="377"/>
      <c r="Q17" s="377"/>
      <c r="R17" s="377"/>
      <c r="S17" s="377"/>
      <c r="T17" s="377"/>
      <c r="U17" s="457" t="s">
        <v>975</v>
      </c>
      <c r="V17" s="458" t="s">
        <v>580</v>
      </c>
      <c r="W17" s="397">
        <v>141</v>
      </c>
      <c r="X17" s="377"/>
      <c r="Y17" s="377" t="s">
        <v>610</v>
      </c>
      <c r="Z17" s="377">
        <f>W17*0.001*AB17</f>
        <v>2.6437500000000003E-2</v>
      </c>
      <c r="AA17" s="377"/>
      <c r="AB17" s="377">
        <f>'2B. Reusable'!O37</f>
        <v>0.1875</v>
      </c>
      <c r="AC17" s="377" t="s">
        <v>838</v>
      </c>
    </row>
    <row r="18" spans="1:29">
      <c r="A18" s="395" t="s">
        <v>976</v>
      </c>
      <c r="B18" s="188">
        <f t="shared" si="0"/>
        <v>0.33500000000000002</v>
      </c>
      <c r="C18" s="188" t="s">
        <v>37</v>
      </c>
      <c r="D18" s="188" t="s">
        <v>2</v>
      </c>
      <c r="E18" s="188" t="s">
        <v>29</v>
      </c>
      <c r="F18" s="37" t="s">
        <v>14</v>
      </c>
      <c r="G18" s="188" t="s">
        <v>33</v>
      </c>
      <c r="H18" s="188">
        <v>1</v>
      </c>
      <c r="I18" s="188">
        <f t="shared" si="1"/>
        <v>0.33500000000000002</v>
      </c>
      <c r="J18" s="188" t="s">
        <v>31</v>
      </c>
      <c r="K18" s="188" t="s">
        <v>31</v>
      </c>
      <c r="L18" s="188" t="s">
        <v>31</v>
      </c>
      <c r="M18" s="188" t="s">
        <v>31</v>
      </c>
      <c r="U18" s="459" t="s">
        <v>977</v>
      </c>
      <c r="V18" s="396" t="s">
        <v>580</v>
      </c>
      <c r="W18" s="397">
        <v>335</v>
      </c>
      <c r="Y18" s="188" t="s">
        <v>241</v>
      </c>
      <c r="Z18" s="188">
        <f>0.001*W18</f>
        <v>0.33500000000000002</v>
      </c>
    </row>
    <row r="19" spans="1:29">
      <c r="A19" s="15" t="s">
        <v>840</v>
      </c>
      <c r="B19" s="188">
        <f t="shared" si="0"/>
        <v>3.0000000000000001E-3</v>
      </c>
      <c r="C19" s="188" t="s">
        <v>37</v>
      </c>
      <c r="D19" s="188" t="s">
        <v>40</v>
      </c>
      <c r="E19" s="188" t="s">
        <v>29</v>
      </c>
      <c r="F19" s="37" t="s">
        <v>35</v>
      </c>
      <c r="G19" s="188" t="s">
        <v>33</v>
      </c>
      <c r="H19" s="188">
        <v>1</v>
      </c>
      <c r="I19" s="188">
        <f t="shared" si="1"/>
        <v>3.0000000000000001E-3</v>
      </c>
      <c r="J19" s="188" t="s">
        <v>31</v>
      </c>
      <c r="K19" s="188" t="s">
        <v>31</v>
      </c>
      <c r="L19" s="188" t="s">
        <v>31</v>
      </c>
      <c r="M19" s="188" t="s">
        <v>31</v>
      </c>
      <c r="N19" s="346" t="s">
        <v>841</v>
      </c>
      <c r="U19" s="396" t="s">
        <v>841</v>
      </c>
      <c r="V19" s="396" t="s">
        <v>580</v>
      </c>
      <c r="W19" s="397">
        <v>3</v>
      </c>
      <c r="Y19" s="188" t="s">
        <v>241</v>
      </c>
      <c r="Z19" s="188">
        <f>0.001*W19</f>
        <v>3.0000000000000001E-3</v>
      </c>
    </row>
    <row r="20" spans="1:29">
      <c r="A20" s="15" t="s">
        <v>179</v>
      </c>
      <c r="B20" s="188">
        <f t="shared" si="0"/>
        <v>1.4E-2</v>
      </c>
      <c r="C20" s="188" t="s">
        <v>37</v>
      </c>
      <c r="D20" s="188" t="s">
        <v>40</v>
      </c>
      <c r="E20" s="188" t="s">
        <v>29</v>
      </c>
      <c r="F20" s="37" t="s">
        <v>35</v>
      </c>
      <c r="G20" s="188" t="s">
        <v>33</v>
      </c>
      <c r="H20" s="188">
        <v>1</v>
      </c>
      <c r="I20" s="188">
        <f t="shared" si="1"/>
        <v>1.4E-2</v>
      </c>
      <c r="J20" s="188" t="s">
        <v>31</v>
      </c>
      <c r="K20" s="188" t="s">
        <v>31</v>
      </c>
      <c r="L20" s="188" t="s">
        <v>31</v>
      </c>
      <c r="M20" s="188" t="s">
        <v>31</v>
      </c>
      <c r="N20" s="346" t="s">
        <v>842</v>
      </c>
      <c r="U20" s="459" t="s">
        <v>842</v>
      </c>
      <c r="V20" s="396" t="s">
        <v>580</v>
      </c>
      <c r="W20" s="397">
        <v>14</v>
      </c>
      <c r="Y20" s="188" t="s">
        <v>241</v>
      </c>
      <c r="Z20" s="188">
        <f t="shared" ref="Z20:Z22" si="2">0.001*W20</f>
        <v>1.4E-2</v>
      </c>
    </row>
    <row r="21" spans="1:29">
      <c r="A21" s="15" t="s">
        <v>840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46" t="s">
        <v>843</v>
      </c>
      <c r="U21" s="459" t="s">
        <v>843</v>
      </c>
      <c r="V21" s="396" t="s">
        <v>580</v>
      </c>
      <c r="W21" s="397">
        <v>2</v>
      </c>
      <c r="Y21" s="188" t="s">
        <v>241</v>
      </c>
      <c r="Z21" s="188">
        <f t="shared" si="2"/>
        <v>2E-3</v>
      </c>
    </row>
    <row r="22" spans="1:29">
      <c r="A22" s="15" t="s">
        <v>978</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46" t="s">
        <v>843</v>
      </c>
      <c r="U22" s="459" t="s">
        <v>843</v>
      </c>
      <c r="V22" s="396" t="s">
        <v>580</v>
      </c>
      <c r="W22" s="397">
        <v>2</v>
      </c>
      <c r="Y22" s="188" t="s">
        <v>241</v>
      </c>
      <c r="Z22" s="188">
        <f t="shared" si="2"/>
        <v>2E-3</v>
      </c>
    </row>
    <row r="23" spans="1:29">
      <c r="A23" s="398" t="s">
        <v>979</v>
      </c>
      <c r="B23" s="188">
        <f t="shared" si="0"/>
        <v>0.02</v>
      </c>
      <c r="C23" s="188" t="s">
        <v>37</v>
      </c>
      <c r="D23" s="188" t="s">
        <v>2</v>
      </c>
      <c r="E23" s="188" t="s">
        <v>29</v>
      </c>
      <c r="F23" s="37" t="s">
        <v>14</v>
      </c>
      <c r="G23" s="188" t="s">
        <v>33</v>
      </c>
      <c r="H23" s="188">
        <v>1</v>
      </c>
      <c r="I23" s="188">
        <f t="shared" si="1"/>
        <v>0.02</v>
      </c>
      <c r="J23" s="188" t="s">
        <v>31</v>
      </c>
      <c r="K23" s="188" t="s">
        <v>31</v>
      </c>
      <c r="L23" s="188" t="s">
        <v>31</v>
      </c>
      <c r="M23" s="188" t="s">
        <v>31</v>
      </c>
      <c r="N23" s="346" t="s">
        <v>980</v>
      </c>
      <c r="U23" s="396" t="s">
        <v>980</v>
      </c>
      <c r="V23" s="396" t="s">
        <v>241</v>
      </c>
      <c r="W23" s="397">
        <v>0.02</v>
      </c>
      <c r="Y23" s="188" t="s">
        <v>241</v>
      </c>
      <c r="Z23" s="188">
        <f t="shared" ref="Z23:Z24" si="3">W23</f>
        <v>0.02</v>
      </c>
    </row>
    <row r="24" spans="1:29">
      <c r="A24" s="395" t="s">
        <v>981</v>
      </c>
      <c r="B24" s="358">
        <f>'2B. Machined casing'!B7</f>
        <v>3.15</v>
      </c>
      <c r="C24" s="188" t="s">
        <v>37</v>
      </c>
      <c r="D24" s="188" t="s">
        <v>2</v>
      </c>
      <c r="E24" s="188" t="s">
        <v>29</v>
      </c>
      <c r="F24" s="37" t="s">
        <v>14</v>
      </c>
      <c r="G24" s="188" t="s">
        <v>33</v>
      </c>
      <c r="H24" s="188">
        <v>1</v>
      </c>
      <c r="I24" s="188">
        <f t="shared" si="1"/>
        <v>3.15</v>
      </c>
      <c r="J24" s="188" t="s">
        <v>31</v>
      </c>
      <c r="K24" s="188" t="s">
        <v>31</v>
      </c>
      <c r="L24" s="188" t="s">
        <v>31</v>
      </c>
      <c r="M24" s="188" t="s">
        <v>31</v>
      </c>
      <c r="N24" s="346" t="s">
        <v>846</v>
      </c>
      <c r="U24" s="396" t="s">
        <v>982</v>
      </c>
      <c r="V24" s="400" t="s">
        <v>241</v>
      </c>
      <c r="W24" s="397">
        <v>3</v>
      </c>
      <c r="Y24" s="188" t="s">
        <v>241</v>
      </c>
      <c r="Z24" s="188">
        <f t="shared" si="3"/>
        <v>3</v>
      </c>
    </row>
    <row r="25" spans="1:29">
      <c r="A25" s="15" t="s">
        <v>848</v>
      </c>
      <c r="B25" s="188">
        <f t="shared" si="0"/>
        <v>6.0000000000000001E-3</v>
      </c>
      <c r="C25" s="188" t="s">
        <v>37</v>
      </c>
      <c r="D25" s="188" t="s">
        <v>40</v>
      </c>
      <c r="E25" s="188" t="s">
        <v>29</v>
      </c>
      <c r="F25" s="37" t="s">
        <v>82</v>
      </c>
      <c r="G25" s="188" t="s">
        <v>33</v>
      </c>
      <c r="H25" s="188">
        <v>1</v>
      </c>
      <c r="I25" s="188">
        <f t="shared" si="1"/>
        <v>6.0000000000000001E-3</v>
      </c>
      <c r="J25" s="188" t="s">
        <v>31</v>
      </c>
      <c r="K25" s="188" t="s">
        <v>31</v>
      </c>
      <c r="L25" s="188" t="s">
        <v>31</v>
      </c>
      <c r="M25" s="188" t="s">
        <v>31</v>
      </c>
      <c r="N25" s="346" t="s">
        <v>849</v>
      </c>
      <c r="U25" s="401" t="s">
        <v>849</v>
      </c>
      <c r="V25" s="401" t="s">
        <v>580</v>
      </c>
      <c r="W25" s="402">
        <v>6</v>
      </c>
      <c r="Y25" s="188" t="s">
        <v>241</v>
      </c>
      <c r="Z25" s="188">
        <f t="shared" ref="Z25:Z27" si="4">0.001*W25</f>
        <v>6.0000000000000001E-3</v>
      </c>
    </row>
    <row r="26" spans="1:29">
      <c r="A26" s="15" t="s">
        <v>850</v>
      </c>
      <c r="B26" s="188">
        <f t="shared" si="0"/>
        <v>1E-3</v>
      </c>
      <c r="C26" s="188" t="s">
        <v>37</v>
      </c>
      <c r="D26" s="188" t="s">
        <v>40</v>
      </c>
      <c r="E26" s="188" t="s">
        <v>29</v>
      </c>
      <c r="F26" s="37" t="s">
        <v>59</v>
      </c>
      <c r="G26" s="188" t="s">
        <v>33</v>
      </c>
      <c r="H26" s="188">
        <v>1</v>
      </c>
      <c r="I26" s="188">
        <f t="shared" si="1"/>
        <v>1E-3</v>
      </c>
      <c r="J26" s="188" t="s">
        <v>31</v>
      </c>
      <c r="K26" s="188" t="s">
        <v>31</v>
      </c>
      <c r="L26" s="188" t="s">
        <v>31</v>
      </c>
      <c r="M26" s="188" t="s">
        <v>31</v>
      </c>
      <c r="N26" s="188" t="s">
        <v>851</v>
      </c>
      <c r="U26" s="401" t="s">
        <v>851</v>
      </c>
      <c r="V26" s="401" t="s">
        <v>580</v>
      </c>
      <c r="W26" s="402">
        <v>1</v>
      </c>
      <c r="Y26" s="188" t="s">
        <v>241</v>
      </c>
      <c r="Z26" s="188">
        <f t="shared" si="4"/>
        <v>1E-3</v>
      </c>
    </row>
    <row r="27" spans="1:29">
      <c r="A27" s="15" t="s">
        <v>179</v>
      </c>
      <c r="B27" s="188">
        <f t="shared" si="0"/>
        <v>1E-3</v>
      </c>
      <c r="C27" s="188" t="s">
        <v>37</v>
      </c>
      <c r="D27" s="188" t="s">
        <v>40</v>
      </c>
      <c r="E27" s="188" t="s">
        <v>29</v>
      </c>
      <c r="F27" s="37" t="s">
        <v>35</v>
      </c>
      <c r="G27" s="188" t="s">
        <v>33</v>
      </c>
      <c r="H27" s="188">
        <v>1</v>
      </c>
      <c r="I27" s="188">
        <f t="shared" si="1"/>
        <v>1E-3</v>
      </c>
      <c r="J27" s="188" t="s">
        <v>31</v>
      </c>
      <c r="K27" s="188" t="s">
        <v>31</v>
      </c>
      <c r="L27" s="188" t="s">
        <v>31</v>
      </c>
      <c r="M27" s="188" t="s">
        <v>31</v>
      </c>
      <c r="N27" s="188" t="s">
        <v>852</v>
      </c>
      <c r="U27" s="401" t="s">
        <v>852</v>
      </c>
      <c r="V27" s="401" t="s">
        <v>580</v>
      </c>
      <c r="W27" s="402">
        <v>1</v>
      </c>
      <c r="Y27" s="188" t="s">
        <v>241</v>
      </c>
      <c r="Z27" s="188">
        <f t="shared" si="4"/>
        <v>1E-3</v>
      </c>
    </row>
    <row r="28" spans="1:29">
      <c r="A28" s="460" t="s">
        <v>269</v>
      </c>
      <c r="B28" s="188">
        <v>0.7</v>
      </c>
      <c r="C28" s="188" t="s">
        <v>39</v>
      </c>
      <c r="D28" s="188" t="s">
        <v>40</v>
      </c>
      <c r="E28" s="188" t="s">
        <v>29</v>
      </c>
      <c r="F28" s="188" t="s">
        <v>14</v>
      </c>
      <c r="G28" s="188" t="s">
        <v>33</v>
      </c>
      <c r="H28" s="188">
        <v>1</v>
      </c>
      <c r="I28" s="188">
        <f t="shared" si="1"/>
        <v>0.7</v>
      </c>
      <c r="J28" s="188" t="s">
        <v>31</v>
      </c>
      <c r="K28" s="188" t="s">
        <v>31</v>
      </c>
      <c r="L28" s="188" t="s">
        <v>31</v>
      </c>
      <c r="M28" s="188" t="s">
        <v>31</v>
      </c>
      <c r="N28" s="188" t="s">
        <v>983</v>
      </c>
      <c r="U28" s="396"/>
      <c r="V28" s="400"/>
      <c r="W28" s="397"/>
    </row>
    <row r="29" spans="1:29">
      <c r="A29" s="460" t="s">
        <v>269</v>
      </c>
      <c r="B29" s="188">
        <v>0.2</v>
      </c>
      <c r="C29" s="188" t="s">
        <v>39</v>
      </c>
      <c r="D29" s="188" t="s">
        <v>40</v>
      </c>
      <c r="E29" s="188" t="s">
        <v>29</v>
      </c>
      <c r="F29" s="188" t="s">
        <v>14</v>
      </c>
      <c r="G29" s="188" t="s">
        <v>33</v>
      </c>
      <c r="H29" s="188">
        <v>1</v>
      </c>
      <c r="I29" s="188">
        <f t="shared" si="1"/>
        <v>0.2</v>
      </c>
      <c r="J29" s="188" t="s">
        <v>31</v>
      </c>
      <c r="K29" s="188" t="s">
        <v>31</v>
      </c>
      <c r="L29" s="188" t="s">
        <v>31</v>
      </c>
      <c r="M29" s="188" t="s">
        <v>31</v>
      </c>
      <c r="N29" s="188" t="s">
        <v>854</v>
      </c>
    </row>
    <row r="30" spans="1:29">
      <c r="A30" s="460" t="s">
        <v>269</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855</v>
      </c>
    </row>
    <row r="31" spans="1:29">
      <c r="A31" s="370"/>
      <c r="B31" s="371"/>
      <c r="C31" s="372"/>
      <c r="D31" s="353"/>
      <c r="E31" s="353"/>
      <c r="F31" s="353"/>
      <c r="G31" s="353"/>
      <c r="H31" s="353"/>
      <c r="I31" s="353"/>
      <c r="J31" s="353"/>
      <c r="K31" s="353"/>
      <c r="L31" s="353"/>
      <c r="M31" s="353"/>
      <c r="N31" s="188" t="s">
        <v>984</v>
      </c>
    </row>
    <row r="32" spans="1:29">
      <c r="A32" s="346"/>
      <c r="C32" s="345"/>
      <c r="N32" s="408">
        <f>SUM(B13:B27)-B17+0.141</f>
        <v>4.1410000000000009</v>
      </c>
    </row>
    <row r="33" spans="1:14">
      <c r="A33" s="346"/>
      <c r="C33" s="345"/>
    </row>
    <row r="34" spans="1:14">
      <c r="A34" s="346"/>
      <c r="B34" s="347"/>
    </row>
    <row r="36" spans="1:14">
      <c r="A36" s="346"/>
    </row>
    <row r="38" spans="1:14">
      <c r="A38" s="192"/>
      <c r="B38" s="420"/>
      <c r="F38" s="37"/>
    </row>
    <row r="39" spans="1:14">
      <c r="A39" s="343"/>
    </row>
    <row r="40" spans="1:14">
      <c r="A40" s="343"/>
      <c r="B40" s="344"/>
      <c r="C40" s="344"/>
      <c r="D40" s="344"/>
      <c r="E40" s="344"/>
      <c r="F40" s="344"/>
      <c r="G40" s="344"/>
      <c r="H40" s="344"/>
      <c r="I40" s="344"/>
      <c r="J40" s="344"/>
      <c r="K40" s="344"/>
      <c r="L40" s="344"/>
      <c r="M40" s="344"/>
      <c r="N40" s="344"/>
    </row>
    <row r="41" spans="1:14">
      <c r="A41" s="346"/>
      <c r="F41" s="37"/>
    </row>
    <row r="42" spans="1:14">
      <c r="A42" s="346"/>
      <c r="F42" s="37"/>
    </row>
    <row r="43" spans="1:14">
      <c r="A43" s="346"/>
      <c r="F43" s="37"/>
    </row>
    <row r="44" spans="1:14">
      <c r="A44" s="346"/>
      <c r="F44" s="37"/>
    </row>
    <row r="45" spans="1:14">
      <c r="A45" s="346"/>
      <c r="F45" s="37"/>
    </row>
    <row r="46" spans="1:14">
      <c r="A46" s="346"/>
      <c r="F46" s="37"/>
    </row>
    <row r="47" spans="1:14">
      <c r="A47" s="346"/>
      <c r="F47" s="37"/>
    </row>
    <row r="48" spans="1:14">
      <c r="A48" s="346"/>
      <c r="F48" s="37"/>
    </row>
    <row r="49" spans="1:6">
      <c r="A49" s="346"/>
      <c r="F49" s="37"/>
    </row>
    <row r="50" spans="1:6">
      <c r="A50" s="346"/>
      <c r="F50" s="37"/>
    </row>
    <row r="51" spans="1:6">
      <c r="A51" s="346"/>
      <c r="F51" s="37"/>
    </row>
    <row r="52" spans="1:6">
      <c r="A52" s="346"/>
      <c r="F52" s="37"/>
    </row>
    <row r="53" spans="1:6">
      <c r="A53" s="346"/>
      <c r="F53" s="37"/>
    </row>
    <row r="54" spans="1:6">
      <c r="A54" s="346"/>
      <c r="F54" s="37"/>
    </row>
    <row r="55" spans="1:6">
      <c r="F55" s="37"/>
    </row>
    <row r="57" spans="1:6">
      <c r="A57" s="346"/>
    </row>
  </sheetData>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A7E29-F61E-4147-8C99-4FD978A40010}">
  <sheetPr>
    <tabColor theme="8"/>
  </sheetPr>
  <dimension ref="A1:U104"/>
  <sheetViews>
    <sheetView topLeftCell="A62" zoomScale="70" zoomScaleNormal="70" workbookViewId="0">
      <selection activeCell="A12" sqref="A12"/>
    </sheetView>
  </sheetViews>
  <sheetFormatPr defaultRowHeight="14.45"/>
  <cols>
    <col min="1" max="1" width="52.42578125" style="22" customWidth="1"/>
    <col min="2" max="2" width="17.5703125" customWidth="1"/>
    <col min="3" max="3" width="13.7109375" customWidth="1"/>
    <col min="4" max="4" width="39.85546875" customWidth="1"/>
    <col min="7" max="7" width="14.85546875" customWidth="1"/>
  </cols>
  <sheetData>
    <row r="1" spans="1:21">
      <c r="A1" s="188" t="s">
        <v>0</v>
      </c>
      <c r="B1">
        <v>13</v>
      </c>
    </row>
    <row r="2" spans="1:21" ht="15.6">
      <c r="A2" s="105" t="s">
        <v>5</v>
      </c>
      <c r="B2" s="106" t="s">
        <v>973</v>
      </c>
      <c r="C2" s="69"/>
      <c r="D2" s="70"/>
      <c r="E2" s="70"/>
      <c r="F2" s="70"/>
      <c r="G2" s="70"/>
      <c r="H2" s="70"/>
      <c r="I2" s="70"/>
      <c r="J2" s="70"/>
      <c r="K2" s="70"/>
      <c r="L2" s="70"/>
      <c r="M2" s="70"/>
      <c r="N2" s="70"/>
      <c r="O2" s="70"/>
      <c r="P2" s="70"/>
      <c r="Q2" s="70"/>
      <c r="R2" s="70"/>
    </row>
    <row r="3" spans="1:21">
      <c r="A3" s="107" t="s">
        <v>7</v>
      </c>
      <c r="B3" t="s">
        <v>786</v>
      </c>
      <c r="C3" s="72"/>
    </row>
    <row r="4" spans="1:21">
      <c r="A4" s="107" t="s">
        <v>9</v>
      </c>
      <c r="B4" t="s">
        <v>985</v>
      </c>
      <c r="C4" s="72"/>
      <c r="U4" s="84"/>
    </row>
    <row r="5" spans="1:21" ht="12.75" customHeight="1">
      <c r="A5" s="107" t="s">
        <v>11</v>
      </c>
      <c r="B5" s="73" t="s">
        <v>796</v>
      </c>
    </row>
    <row r="6" spans="1:21">
      <c r="A6" s="107" t="s">
        <v>13</v>
      </c>
      <c r="B6" t="s">
        <v>14</v>
      </c>
    </row>
    <row r="7" spans="1:21">
      <c r="A7" s="107" t="s">
        <v>15</v>
      </c>
      <c r="B7">
        <f>B12</f>
        <v>1E-3</v>
      </c>
    </row>
    <row r="8" spans="1:21">
      <c r="A8" s="107" t="s">
        <v>16</v>
      </c>
      <c r="B8" t="s">
        <v>17</v>
      </c>
    </row>
    <row r="9" spans="1:21">
      <c r="A9" s="107" t="s">
        <v>18</v>
      </c>
      <c r="B9" t="s">
        <v>609</v>
      </c>
    </row>
    <row r="10" spans="1:21" ht="15.6">
      <c r="A10" s="108" t="s">
        <v>19</v>
      </c>
    </row>
    <row r="11" spans="1:21" ht="15.6">
      <c r="A11" s="108"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6">
      <c r="A12" s="22" t="s">
        <v>973</v>
      </c>
      <c r="B12">
        <v>1E-3</v>
      </c>
      <c r="C12" t="s">
        <v>609</v>
      </c>
      <c r="D12" s="109" t="s">
        <v>2</v>
      </c>
      <c r="E12" t="s">
        <v>29</v>
      </c>
      <c r="F12" s="74" t="s">
        <v>14</v>
      </c>
      <c r="G12" t="s">
        <v>30</v>
      </c>
      <c r="H12">
        <v>1</v>
      </c>
      <c r="I12">
        <f>B12</f>
        <v>1E-3</v>
      </c>
      <c r="J12" t="s">
        <v>31</v>
      </c>
      <c r="K12" t="s">
        <v>31</v>
      </c>
      <c r="L12" t="s">
        <v>31</v>
      </c>
      <c r="M12" t="s">
        <v>31</v>
      </c>
      <c r="O12" s="110"/>
      <c r="P12" s="111"/>
    </row>
    <row r="13" spans="1:21" ht="15.6">
      <c r="A13" s="22" t="s">
        <v>986</v>
      </c>
      <c r="B13">
        <f>Q13</f>
        <v>5.3333333333333332E-3</v>
      </c>
      <c r="C13" t="s">
        <v>37</v>
      </c>
      <c r="D13" s="109" t="s">
        <v>2</v>
      </c>
      <c r="E13" t="s">
        <v>29</v>
      </c>
      <c r="F13" s="74" t="s">
        <v>14</v>
      </c>
      <c r="G13" t="s">
        <v>33</v>
      </c>
      <c r="H13">
        <v>1</v>
      </c>
      <c r="I13">
        <f t="shared" ref="I13:I14" si="0">B13</f>
        <v>5.3333333333333332E-3</v>
      </c>
      <c r="J13" t="s">
        <v>31</v>
      </c>
      <c r="K13" t="s">
        <v>31</v>
      </c>
      <c r="L13" t="s">
        <v>31</v>
      </c>
      <c r="M13" t="s">
        <v>31</v>
      </c>
      <c r="O13" s="104" t="s">
        <v>987</v>
      </c>
      <c r="Q13">
        <f>B12/O37</f>
        <v>5.3333333333333332E-3</v>
      </c>
    </row>
    <row r="14" spans="1:21" ht="15.6">
      <c r="A14" s="22" t="s">
        <v>988</v>
      </c>
      <c r="B14">
        <v>1E-3</v>
      </c>
      <c r="C14" t="s">
        <v>609</v>
      </c>
      <c r="D14" s="109" t="s">
        <v>2</v>
      </c>
      <c r="E14" t="s">
        <v>29</v>
      </c>
      <c r="F14" s="74" t="s">
        <v>14</v>
      </c>
      <c r="G14" t="s">
        <v>33</v>
      </c>
      <c r="H14">
        <v>1</v>
      </c>
      <c r="I14">
        <f t="shared" si="0"/>
        <v>1E-3</v>
      </c>
      <c r="J14" t="s">
        <v>31</v>
      </c>
      <c r="K14" t="s">
        <v>31</v>
      </c>
      <c r="L14" t="s">
        <v>31</v>
      </c>
      <c r="M14" t="s">
        <v>31</v>
      </c>
    </row>
    <row r="15" spans="1:21" ht="15.6">
      <c r="A15" s="112" t="s">
        <v>799</v>
      </c>
      <c r="B15">
        <f>P15</f>
        <v>7.0000000000000001E-3</v>
      </c>
      <c r="C15" t="s">
        <v>37</v>
      </c>
      <c r="D15" s="17" t="s">
        <v>40</v>
      </c>
      <c r="E15" t="s">
        <v>29</v>
      </c>
      <c r="F15" s="74" t="s">
        <v>74</v>
      </c>
      <c r="G15" t="s">
        <v>33</v>
      </c>
      <c r="H15">
        <v>2</v>
      </c>
      <c r="I15">
        <f>LN(B15)</f>
        <v>-4.9618451299268234</v>
      </c>
      <c r="J15" s="113">
        <v>0.11236102527122109</v>
      </c>
      <c r="K15" t="s">
        <v>31</v>
      </c>
      <c r="L15" t="s">
        <v>31</v>
      </c>
      <c r="M15" t="s">
        <v>31</v>
      </c>
      <c r="O15" s="101" t="s">
        <v>241</v>
      </c>
      <c r="P15" s="114">
        <v>7.0000000000000001E-3</v>
      </c>
    </row>
    <row r="16" spans="1:21" ht="15.6">
      <c r="A16" s="112" t="s">
        <v>862</v>
      </c>
      <c r="B16" s="115">
        <f>Q16</f>
        <v>4.0000000000000001E-10</v>
      </c>
      <c r="C16" t="s">
        <v>37</v>
      </c>
      <c r="D16" s="17" t="s">
        <v>40</v>
      </c>
      <c r="E16" t="s">
        <v>29</v>
      </c>
      <c r="F16" s="74" t="s">
        <v>59</v>
      </c>
      <c r="G16" t="s">
        <v>33</v>
      </c>
      <c r="H16">
        <v>2</v>
      </c>
      <c r="I16">
        <f t="shared" ref="I16:I17" si="1">LN(B16)</f>
        <v>-21.639556568820566</v>
      </c>
      <c r="J16" s="113">
        <v>0.11236102527122109</v>
      </c>
      <c r="K16" t="s">
        <v>31</v>
      </c>
      <c r="L16" t="s">
        <v>31</v>
      </c>
      <c r="M16" t="s">
        <v>31</v>
      </c>
      <c r="O16" s="116" t="s">
        <v>538</v>
      </c>
      <c r="P16" s="117">
        <v>4.0000000000000002E-4</v>
      </c>
      <c r="Q16" s="115">
        <f>P16*10^(-6)</f>
        <v>4.0000000000000001E-10</v>
      </c>
      <c r="R16" t="s">
        <v>37</v>
      </c>
    </row>
    <row r="17" spans="1:18" ht="15.6">
      <c r="A17" s="112" t="s">
        <v>76</v>
      </c>
      <c r="B17">
        <f>Q17</f>
        <v>6.9999999999999999E-6</v>
      </c>
      <c r="C17" t="s">
        <v>42</v>
      </c>
      <c r="D17" s="17" t="s">
        <v>40</v>
      </c>
      <c r="E17" t="s">
        <v>29</v>
      </c>
      <c r="F17" s="74" t="s">
        <v>74</v>
      </c>
      <c r="G17" t="s">
        <v>33</v>
      </c>
      <c r="H17">
        <v>2</v>
      </c>
      <c r="I17">
        <f t="shared" si="1"/>
        <v>-11.86960040890896</v>
      </c>
      <c r="J17" s="113">
        <v>0.11236102527122109</v>
      </c>
      <c r="K17" t="s">
        <v>31</v>
      </c>
      <c r="L17" t="s">
        <v>31</v>
      </c>
      <c r="M17" t="s">
        <v>31</v>
      </c>
      <c r="O17" s="118" t="s">
        <v>863</v>
      </c>
      <c r="P17" s="119">
        <v>7.0000000000000001E-3</v>
      </c>
      <c r="Q17">
        <f>P17/1000</f>
        <v>6.9999999999999999E-6</v>
      </c>
      <c r="R17" t="s">
        <v>864</v>
      </c>
    </row>
    <row r="18" spans="1:18" ht="15.6">
      <c r="A18" s="105" t="s">
        <v>5</v>
      </c>
      <c r="B18" s="106" t="s">
        <v>986</v>
      </c>
      <c r="C18" s="69"/>
      <c r="D18" s="70"/>
      <c r="E18" s="70"/>
      <c r="F18" s="70"/>
      <c r="G18" s="70"/>
      <c r="H18" s="70"/>
      <c r="I18" s="70"/>
      <c r="J18" s="70"/>
      <c r="K18" s="70"/>
      <c r="L18" s="70"/>
      <c r="M18" s="70"/>
      <c r="N18" s="70"/>
      <c r="O18" s="70"/>
      <c r="P18" s="70"/>
      <c r="Q18" s="70"/>
      <c r="R18" s="70"/>
    </row>
    <row r="19" spans="1:18">
      <c r="A19" s="107" t="s">
        <v>7</v>
      </c>
      <c r="B19" t="s">
        <v>786</v>
      </c>
      <c r="C19" s="72"/>
    </row>
    <row r="20" spans="1:18">
      <c r="A20" s="107" t="s">
        <v>9</v>
      </c>
      <c r="B20" t="s">
        <v>989</v>
      </c>
      <c r="C20" s="72"/>
    </row>
    <row r="21" spans="1:18" ht="10.5" customHeight="1">
      <c r="A21" s="107" t="s">
        <v>11</v>
      </c>
      <c r="B21" s="73" t="s">
        <v>796</v>
      </c>
    </row>
    <row r="22" spans="1:18">
      <c r="A22" s="107" t="s">
        <v>13</v>
      </c>
      <c r="B22" t="s">
        <v>14</v>
      </c>
    </row>
    <row r="23" spans="1:18">
      <c r="A23" s="107" t="s">
        <v>15</v>
      </c>
      <c r="B23">
        <f>B28</f>
        <v>3.0000000000000001E-3</v>
      </c>
    </row>
    <row r="24" spans="1:18">
      <c r="A24" s="107" t="s">
        <v>16</v>
      </c>
      <c r="B24" t="s">
        <v>17</v>
      </c>
    </row>
    <row r="25" spans="1:18">
      <c r="A25" s="107" t="s">
        <v>18</v>
      </c>
      <c r="B25" t="s">
        <v>37</v>
      </c>
    </row>
    <row r="26" spans="1:18" ht="15.6">
      <c r="A26" s="108" t="s">
        <v>19</v>
      </c>
    </row>
    <row r="27" spans="1:18" ht="15.6">
      <c r="A27" s="108"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6">
      <c r="A28" s="22" t="s">
        <v>986</v>
      </c>
      <c r="B28">
        <v>3.0000000000000001E-3</v>
      </c>
      <c r="C28" t="s">
        <v>37</v>
      </c>
      <c r="D28" s="109" t="s">
        <v>2</v>
      </c>
      <c r="E28" t="s">
        <v>29</v>
      </c>
      <c r="F28" s="74" t="s">
        <v>14</v>
      </c>
      <c r="G28" t="s">
        <v>30</v>
      </c>
      <c r="H28">
        <v>1</v>
      </c>
      <c r="I28">
        <f>B28</f>
        <v>3.0000000000000001E-3</v>
      </c>
      <c r="J28" t="s">
        <v>31</v>
      </c>
      <c r="K28" t="s">
        <v>31</v>
      </c>
      <c r="L28" t="s">
        <v>31</v>
      </c>
      <c r="M28" t="s">
        <v>31</v>
      </c>
    </row>
    <row r="29" spans="1:18" ht="15.6">
      <c r="A29" s="112" t="s">
        <v>862</v>
      </c>
      <c r="B29" s="115">
        <f>R29</f>
        <v>3.1000000000000003E-3</v>
      </c>
      <c r="C29" t="s">
        <v>37</v>
      </c>
      <c r="D29" s="17" t="s">
        <v>40</v>
      </c>
      <c r="E29" t="s">
        <v>29</v>
      </c>
      <c r="F29" s="74" t="s">
        <v>59</v>
      </c>
      <c r="G29" t="s">
        <v>33</v>
      </c>
      <c r="H29">
        <v>2</v>
      </c>
      <c r="I29">
        <f t="shared" ref="I29:I31" si="2">LN(B29)</f>
        <v>-5.7763531674910364</v>
      </c>
      <c r="J29" s="113">
        <v>0.11236102527122109</v>
      </c>
      <c r="K29" t="s">
        <v>31</v>
      </c>
      <c r="L29" t="s">
        <v>31</v>
      </c>
      <c r="M29" t="s">
        <v>31</v>
      </c>
      <c r="O29" s="101" t="s">
        <v>580</v>
      </c>
      <c r="P29" s="114">
        <v>3.1</v>
      </c>
      <c r="Q29" t="s">
        <v>241</v>
      </c>
      <c r="R29">
        <f>P29*0.001</f>
        <v>3.1000000000000003E-3</v>
      </c>
    </row>
    <row r="30" spans="1:18" ht="15.6">
      <c r="A30" s="121" t="s">
        <v>269</v>
      </c>
      <c r="B30" s="122">
        <f>P30</f>
        <v>0.01</v>
      </c>
      <c r="C30" t="s">
        <v>39</v>
      </c>
      <c r="D30" s="17" t="s">
        <v>40</v>
      </c>
      <c r="E30" t="s">
        <v>29</v>
      </c>
      <c r="F30" s="74" t="s">
        <v>35</v>
      </c>
      <c r="G30" t="s">
        <v>33</v>
      </c>
      <c r="H30">
        <v>2</v>
      </c>
      <c r="I30">
        <f t="shared" si="2"/>
        <v>-4.6051701859880909</v>
      </c>
      <c r="J30" s="113">
        <v>0.11236102527122109</v>
      </c>
      <c r="K30" t="s">
        <v>31</v>
      </c>
      <c r="L30" t="s">
        <v>31</v>
      </c>
      <c r="M30" t="s">
        <v>31</v>
      </c>
      <c r="O30" s="101" t="s">
        <v>248</v>
      </c>
      <c r="P30" s="114">
        <v>0.01</v>
      </c>
    </row>
    <row r="31" spans="1:18" ht="15.6">
      <c r="A31" s="112" t="s">
        <v>866</v>
      </c>
      <c r="B31">
        <f>R31</f>
        <v>2.0000000000000001E-4</v>
      </c>
      <c r="C31" t="s">
        <v>37</v>
      </c>
      <c r="D31" s="17" t="s">
        <v>43</v>
      </c>
      <c r="E31" t="s">
        <v>867</v>
      </c>
      <c r="F31" s="74" t="s">
        <v>29</v>
      </c>
      <c r="G31" t="s">
        <v>45</v>
      </c>
      <c r="H31">
        <v>2</v>
      </c>
      <c r="I31">
        <f t="shared" si="2"/>
        <v>-8.5171931914162382</v>
      </c>
      <c r="J31" s="113">
        <v>0.11236102527122109</v>
      </c>
      <c r="K31" t="s">
        <v>31</v>
      </c>
      <c r="L31" t="s">
        <v>31</v>
      </c>
      <c r="M31" t="s">
        <v>31</v>
      </c>
      <c r="O31" s="118" t="s">
        <v>580</v>
      </c>
      <c r="P31" s="119">
        <v>0.2</v>
      </c>
      <c r="Q31" t="s">
        <v>241</v>
      </c>
      <c r="R31">
        <f>P31*0.001</f>
        <v>2.0000000000000001E-4</v>
      </c>
    </row>
    <row r="32" spans="1:18" ht="15.6">
      <c r="A32" s="105" t="s">
        <v>5</v>
      </c>
      <c r="B32" s="123" t="s">
        <v>988</v>
      </c>
      <c r="C32" s="69"/>
      <c r="D32" s="70"/>
      <c r="E32" s="70"/>
      <c r="F32" s="70"/>
      <c r="G32" s="70"/>
      <c r="H32" s="70"/>
      <c r="I32" s="70"/>
      <c r="J32" s="70"/>
      <c r="K32" s="70"/>
      <c r="L32" s="70"/>
      <c r="M32" s="70"/>
      <c r="N32" s="70"/>
      <c r="O32" s="70"/>
      <c r="P32" s="70"/>
      <c r="Q32" s="70"/>
      <c r="R32" s="70"/>
    </row>
    <row r="33" spans="1:20">
      <c r="A33" s="107" t="s">
        <v>7</v>
      </c>
      <c r="B33" t="s">
        <v>786</v>
      </c>
      <c r="C33" s="72"/>
    </row>
    <row r="34" spans="1:20">
      <c r="A34" s="107" t="s">
        <v>9</v>
      </c>
      <c r="B34" t="s">
        <v>990</v>
      </c>
      <c r="C34" s="72"/>
    </row>
    <row r="35" spans="1:20" ht="15.75" customHeight="1">
      <c r="A35" s="107" t="s">
        <v>11</v>
      </c>
      <c r="B35" s="73" t="s">
        <v>796</v>
      </c>
      <c r="T35" s="84" t="s">
        <v>991</v>
      </c>
    </row>
    <row r="36" spans="1:20">
      <c r="A36" s="107" t="s">
        <v>13</v>
      </c>
      <c r="B36" t="s">
        <v>14</v>
      </c>
      <c r="O36" t="s">
        <v>992</v>
      </c>
    </row>
    <row r="37" spans="1:20">
      <c r="A37" s="107" t="s">
        <v>15</v>
      </c>
      <c r="B37">
        <f>B42</f>
        <v>0.03</v>
      </c>
      <c r="O37">
        <f>0.03/0.16</f>
        <v>0.1875</v>
      </c>
      <c r="P37" t="s">
        <v>838</v>
      </c>
    </row>
    <row r="38" spans="1:20">
      <c r="A38" s="107" t="s">
        <v>16</v>
      </c>
      <c r="B38" t="s">
        <v>17</v>
      </c>
    </row>
    <row r="39" spans="1:20">
      <c r="A39" s="107" t="s">
        <v>18</v>
      </c>
      <c r="B39" t="s">
        <v>609</v>
      </c>
    </row>
    <row r="40" spans="1:20" ht="15.6">
      <c r="A40" s="108" t="s">
        <v>19</v>
      </c>
    </row>
    <row r="41" spans="1:20" ht="15.6">
      <c r="A41" s="108"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0" ht="15.6">
      <c r="A42" s="22" t="s">
        <v>988</v>
      </c>
      <c r="B42">
        <v>0.03</v>
      </c>
      <c r="C42" t="s">
        <v>609</v>
      </c>
      <c r="D42" s="109" t="s">
        <v>2</v>
      </c>
      <c r="E42" t="s">
        <v>29</v>
      </c>
      <c r="F42" s="74" t="s">
        <v>14</v>
      </c>
      <c r="G42" t="s">
        <v>30</v>
      </c>
      <c r="H42">
        <v>1</v>
      </c>
      <c r="I42">
        <f t="shared" ref="I42:I43" si="3">B42</f>
        <v>0.03</v>
      </c>
      <c r="J42" t="s">
        <v>31</v>
      </c>
      <c r="K42" t="s">
        <v>31</v>
      </c>
      <c r="L42" t="s">
        <v>31</v>
      </c>
      <c r="M42" t="s">
        <v>31</v>
      </c>
    </row>
    <row r="43" spans="1:20" ht="15.6">
      <c r="A43" s="381" t="s">
        <v>993</v>
      </c>
      <c r="B43" s="124">
        <v>0.16</v>
      </c>
      <c r="C43" t="s">
        <v>37</v>
      </c>
      <c r="D43" s="109" t="s">
        <v>2</v>
      </c>
      <c r="E43" t="s">
        <v>29</v>
      </c>
      <c r="F43" s="74" t="s">
        <v>14</v>
      </c>
      <c r="G43" t="s">
        <v>33</v>
      </c>
      <c r="H43">
        <v>1</v>
      </c>
      <c r="I43">
        <f t="shared" si="3"/>
        <v>0.16</v>
      </c>
      <c r="J43" t="s">
        <v>31</v>
      </c>
      <c r="K43" t="s">
        <v>31</v>
      </c>
      <c r="L43" t="s">
        <v>31</v>
      </c>
      <c r="M43" t="s">
        <v>31</v>
      </c>
      <c r="O43" t="s">
        <v>609</v>
      </c>
      <c r="P43">
        <v>0.03</v>
      </c>
    </row>
    <row r="44" spans="1:20" ht="15.6">
      <c r="A44" s="121" t="s">
        <v>269</v>
      </c>
      <c r="B44" s="122">
        <f>P44</f>
        <v>0.06</v>
      </c>
      <c r="C44" t="s">
        <v>39</v>
      </c>
      <c r="D44" s="17" t="s">
        <v>40</v>
      </c>
      <c r="E44" t="s">
        <v>29</v>
      </c>
      <c r="F44" s="74" t="s">
        <v>35</v>
      </c>
      <c r="G44" t="s">
        <v>33</v>
      </c>
      <c r="H44">
        <v>2</v>
      </c>
      <c r="I44">
        <f t="shared" ref="I44" si="4">LN(B44)</f>
        <v>-2.8134107167600364</v>
      </c>
      <c r="J44" s="113">
        <v>7.2284161474004766E-2</v>
      </c>
      <c r="K44" t="s">
        <v>31</v>
      </c>
      <c r="L44" t="s">
        <v>31</v>
      </c>
      <c r="M44" t="s">
        <v>31</v>
      </c>
      <c r="O44" s="101" t="s">
        <v>248</v>
      </c>
      <c r="P44" s="114">
        <v>0.06</v>
      </c>
    </row>
    <row r="45" spans="1:20" ht="15.6">
      <c r="A45" s="112" t="s">
        <v>310</v>
      </c>
      <c r="B45">
        <f>R45</f>
        <v>1E-3</v>
      </c>
      <c r="C45" t="s">
        <v>37</v>
      </c>
      <c r="D45" s="17" t="s">
        <v>40</v>
      </c>
      <c r="E45" t="s">
        <v>29</v>
      </c>
      <c r="F45" s="74" t="s">
        <v>59</v>
      </c>
      <c r="G45" t="s">
        <v>33</v>
      </c>
      <c r="H45">
        <v>2</v>
      </c>
      <c r="I45">
        <f>LN(B45)</f>
        <v>-6.9077552789821368</v>
      </c>
      <c r="J45" s="113">
        <v>7.2284161474004766E-2</v>
      </c>
      <c r="K45" t="s">
        <v>31</v>
      </c>
      <c r="L45" t="s">
        <v>31</v>
      </c>
      <c r="M45" t="s">
        <v>31</v>
      </c>
      <c r="O45" s="101" t="s">
        <v>580</v>
      </c>
      <c r="P45" s="114">
        <v>1</v>
      </c>
      <c r="Q45" t="s">
        <v>241</v>
      </c>
      <c r="R45">
        <f>P45*0.001</f>
        <v>1E-3</v>
      </c>
    </row>
    <row r="46" spans="1:20" ht="15.6">
      <c r="A46" s="112" t="s">
        <v>871</v>
      </c>
      <c r="B46">
        <f>R46</f>
        <v>2E-3</v>
      </c>
      <c r="C46" t="s">
        <v>37</v>
      </c>
      <c r="D46" s="17" t="s">
        <v>40</v>
      </c>
      <c r="E46" t="s">
        <v>29</v>
      </c>
      <c r="F46" s="74" t="s">
        <v>35</v>
      </c>
      <c r="G46" t="s">
        <v>33</v>
      </c>
      <c r="H46">
        <v>2</v>
      </c>
      <c r="I46">
        <f>LN(B46)</f>
        <v>-6.2146080984221914</v>
      </c>
      <c r="J46" s="113">
        <v>7.2284161474004766E-2</v>
      </c>
      <c r="K46" t="s">
        <v>31</v>
      </c>
      <c r="L46" t="s">
        <v>31</v>
      </c>
      <c r="M46" t="s">
        <v>31</v>
      </c>
      <c r="O46" s="101" t="s">
        <v>580</v>
      </c>
      <c r="P46" s="114">
        <v>2</v>
      </c>
      <c r="Q46" t="s">
        <v>241</v>
      </c>
      <c r="R46">
        <f>P46*0.001</f>
        <v>2E-3</v>
      </c>
    </row>
    <row r="47" spans="1:20" ht="15.6">
      <c r="A47" s="112" t="s">
        <v>799</v>
      </c>
      <c r="B47">
        <f>P47</f>
        <v>2.1</v>
      </c>
      <c r="C47" t="s">
        <v>37</v>
      </c>
      <c r="D47" s="17" t="s">
        <v>40</v>
      </c>
      <c r="E47" t="s">
        <v>29</v>
      </c>
      <c r="F47" s="74" t="s">
        <v>74</v>
      </c>
      <c r="G47" t="s">
        <v>33</v>
      </c>
      <c r="H47">
        <v>2</v>
      </c>
      <c r="I47">
        <f>LN(B47)</f>
        <v>0.74193734472937733</v>
      </c>
      <c r="J47" s="113">
        <v>7.2284161474004766E-2</v>
      </c>
      <c r="K47" t="s">
        <v>31</v>
      </c>
      <c r="L47" t="s">
        <v>31</v>
      </c>
      <c r="M47" t="s">
        <v>31</v>
      </c>
      <c r="O47" s="101" t="s">
        <v>241</v>
      </c>
      <c r="P47" s="114">
        <v>2.1</v>
      </c>
    </row>
    <row r="48" spans="1:20" ht="15.6">
      <c r="A48" s="112" t="s">
        <v>76</v>
      </c>
      <c r="B48">
        <f>R48</f>
        <v>2.1000000000000003E-3</v>
      </c>
      <c r="C48" t="s">
        <v>42</v>
      </c>
      <c r="D48" s="17" t="s">
        <v>40</v>
      </c>
      <c r="E48" t="s">
        <v>29</v>
      </c>
      <c r="F48" s="74" t="s">
        <v>74</v>
      </c>
      <c r="G48" t="s">
        <v>33</v>
      </c>
      <c r="H48">
        <v>2</v>
      </c>
      <c r="I48">
        <f t="shared" ref="I48" si="5">LN(B48)</f>
        <v>-6.1658179342527593</v>
      </c>
      <c r="J48" s="113">
        <v>7.2284161474004766E-2</v>
      </c>
      <c r="K48" t="s">
        <v>31</v>
      </c>
      <c r="L48" t="s">
        <v>31</v>
      </c>
      <c r="M48" t="s">
        <v>31</v>
      </c>
      <c r="O48" s="118" t="s">
        <v>863</v>
      </c>
      <c r="P48" s="119">
        <v>2.1</v>
      </c>
      <c r="Q48" t="s">
        <v>251</v>
      </c>
      <c r="R48">
        <f>P48/1000</f>
        <v>2.1000000000000003E-3</v>
      </c>
    </row>
    <row r="49" spans="1:18" ht="15.6">
      <c r="A49" s="105" t="s">
        <v>5</v>
      </c>
      <c r="B49" s="123" t="s">
        <v>994</v>
      </c>
      <c r="C49" s="69"/>
      <c r="D49" s="70"/>
      <c r="E49" s="70"/>
      <c r="F49" s="70"/>
      <c r="G49" s="70"/>
      <c r="H49" s="70"/>
      <c r="I49" s="70"/>
      <c r="J49" s="70"/>
      <c r="K49" s="70"/>
      <c r="L49" s="70"/>
      <c r="M49" s="70"/>
      <c r="N49" s="70"/>
      <c r="O49" s="70"/>
      <c r="P49" s="70"/>
      <c r="Q49" s="70"/>
      <c r="R49" s="70"/>
    </row>
    <row r="50" spans="1:18">
      <c r="A50" s="107" t="s">
        <v>7</v>
      </c>
      <c r="B50" t="s">
        <v>786</v>
      </c>
      <c r="C50" s="72"/>
    </row>
    <row r="51" spans="1:18">
      <c r="A51" s="107" t="s">
        <v>9</v>
      </c>
      <c r="B51" t="s">
        <v>995</v>
      </c>
      <c r="C51" s="72"/>
    </row>
    <row r="52" spans="1:18" ht="10.5" customHeight="1">
      <c r="A52" s="107" t="s">
        <v>11</v>
      </c>
      <c r="B52" s="73" t="s">
        <v>796</v>
      </c>
    </row>
    <row r="53" spans="1:18">
      <c r="A53" s="107" t="s">
        <v>13</v>
      </c>
      <c r="B53" t="s">
        <v>14</v>
      </c>
    </row>
    <row r="54" spans="1:18">
      <c r="A54" s="107" t="s">
        <v>15</v>
      </c>
      <c r="B54" s="124">
        <f>B59</f>
        <v>4.0000000000000001E-3</v>
      </c>
    </row>
    <row r="55" spans="1:18">
      <c r="A55" s="107" t="s">
        <v>16</v>
      </c>
      <c r="B55" t="s">
        <v>17</v>
      </c>
    </row>
    <row r="56" spans="1:18">
      <c r="A56" s="107" t="s">
        <v>18</v>
      </c>
      <c r="B56" t="s">
        <v>37</v>
      </c>
    </row>
    <row r="57" spans="1:18" ht="15.6">
      <c r="A57" s="108" t="s">
        <v>19</v>
      </c>
    </row>
    <row r="58" spans="1:18" ht="15.6">
      <c r="A58" s="108"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6">
      <c r="A59" s="22" t="s">
        <v>994</v>
      </c>
      <c r="B59" s="124">
        <f>0.004</f>
        <v>4.0000000000000001E-3</v>
      </c>
      <c r="C59" t="s">
        <v>37</v>
      </c>
      <c r="D59" s="109" t="s">
        <v>2</v>
      </c>
      <c r="E59" t="s">
        <v>29</v>
      </c>
      <c r="F59" s="74" t="s">
        <v>14</v>
      </c>
      <c r="G59" t="s">
        <v>30</v>
      </c>
      <c r="H59">
        <v>1</v>
      </c>
      <c r="I59">
        <f>B59</f>
        <v>4.0000000000000001E-3</v>
      </c>
      <c r="J59" t="s">
        <v>31</v>
      </c>
      <c r="K59" t="s">
        <v>31</v>
      </c>
      <c r="L59" t="s">
        <v>31</v>
      </c>
      <c r="M59" t="s">
        <v>31</v>
      </c>
      <c r="O59" s="59"/>
      <c r="P59" s="120"/>
    </row>
    <row r="60" spans="1:18" ht="15.6">
      <c r="A60" s="112" t="s">
        <v>874</v>
      </c>
      <c r="B60" s="122">
        <f>2.2*0.001</f>
        <v>2.2000000000000001E-3</v>
      </c>
      <c r="C60" t="s">
        <v>37</v>
      </c>
      <c r="D60" s="17" t="s">
        <v>40</v>
      </c>
      <c r="E60" t="s">
        <v>29</v>
      </c>
      <c r="F60" s="74" t="s">
        <v>59</v>
      </c>
      <c r="G60" t="s">
        <v>33</v>
      </c>
      <c r="H60">
        <v>2</v>
      </c>
      <c r="I60">
        <f>LN(B60)</f>
        <v>-6.1192979186178666</v>
      </c>
      <c r="J60">
        <v>7.2284161474004766E-2</v>
      </c>
      <c r="K60" t="s">
        <v>31</v>
      </c>
      <c r="L60" t="s">
        <v>31</v>
      </c>
      <c r="M60" t="s">
        <v>31</v>
      </c>
      <c r="O60" s="101" t="s">
        <v>580</v>
      </c>
      <c r="P60" s="114">
        <v>5</v>
      </c>
      <c r="Q60" t="s">
        <v>241</v>
      </c>
      <c r="R60">
        <f>P60*0.001</f>
        <v>5.0000000000000001E-3</v>
      </c>
    </row>
    <row r="61" spans="1:18" ht="15.6">
      <c r="A61" s="121" t="s">
        <v>269</v>
      </c>
      <c r="B61" s="122">
        <v>0.25</v>
      </c>
      <c r="C61" t="s">
        <v>39</v>
      </c>
      <c r="D61" s="17" t="s">
        <v>40</v>
      </c>
      <c r="E61" t="s">
        <v>29</v>
      </c>
      <c r="F61" s="74" t="s">
        <v>35</v>
      </c>
      <c r="G61" t="s">
        <v>33</v>
      </c>
      <c r="H61">
        <v>2</v>
      </c>
      <c r="I61">
        <f t="shared" ref="I61:I62" si="6">LN(B61)</f>
        <v>-1.3862943611198906</v>
      </c>
      <c r="J61">
        <v>7.2284161474004766E-2</v>
      </c>
      <c r="K61" t="s">
        <v>31</v>
      </c>
      <c r="L61" t="s">
        <v>31</v>
      </c>
      <c r="M61" t="s">
        <v>31</v>
      </c>
      <c r="O61" s="101" t="s">
        <v>248</v>
      </c>
      <c r="P61" s="114">
        <v>0.02</v>
      </c>
    </row>
    <row r="62" spans="1:18" ht="15.6">
      <c r="A62" s="125" t="s">
        <v>790</v>
      </c>
      <c r="B62">
        <f>0.2*0.001</f>
        <v>2.0000000000000001E-4</v>
      </c>
      <c r="C62" t="s">
        <v>37</v>
      </c>
      <c r="D62" s="109" t="s">
        <v>2</v>
      </c>
      <c r="E62" t="s">
        <v>29</v>
      </c>
      <c r="F62" s="74" t="s">
        <v>74</v>
      </c>
      <c r="G62" t="s">
        <v>33</v>
      </c>
      <c r="H62">
        <v>2</v>
      </c>
      <c r="I62">
        <f t="shared" si="6"/>
        <v>-8.5171931914162382</v>
      </c>
      <c r="J62">
        <v>7.2284161474004766E-2</v>
      </c>
      <c r="K62" t="s">
        <v>31</v>
      </c>
      <c r="L62" t="s">
        <v>31</v>
      </c>
      <c r="M62" t="s">
        <v>31</v>
      </c>
    </row>
    <row r="63" spans="1:18" s="17" customFormat="1" ht="15.6">
      <c r="A63" s="404" t="s">
        <v>5</v>
      </c>
      <c r="B63" s="371" t="s">
        <v>993</v>
      </c>
      <c r="C63" s="372"/>
      <c r="D63" s="353"/>
      <c r="E63" s="353"/>
      <c r="F63" s="353"/>
      <c r="G63" s="353"/>
      <c r="H63" s="353"/>
      <c r="I63" s="353"/>
      <c r="J63" s="353"/>
      <c r="K63" s="353"/>
      <c r="L63" s="353"/>
      <c r="M63" s="353"/>
      <c r="N63" s="353"/>
      <c r="O63" s="422"/>
      <c r="P63" s="422"/>
      <c r="Q63" s="422"/>
      <c r="R63" s="422"/>
    </row>
    <row r="64" spans="1:18" s="17" customFormat="1" ht="15.6">
      <c r="A64" s="406" t="s">
        <v>7</v>
      </c>
      <c r="B64" s="188" t="s">
        <v>786</v>
      </c>
      <c r="C64" s="345"/>
      <c r="D64" s="188"/>
      <c r="E64" s="188"/>
      <c r="F64" s="188"/>
      <c r="G64" s="188"/>
      <c r="H64" s="188"/>
      <c r="I64" s="188"/>
      <c r="J64" s="188"/>
      <c r="K64" s="188"/>
      <c r="L64" s="188"/>
      <c r="M64" s="188"/>
      <c r="N64" s="188"/>
    </row>
    <row r="65" spans="1:16" s="17" customFormat="1" ht="15.6">
      <c r="A65" s="406" t="s">
        <v>9</v>
      </c>
      <c r="B65" s="188" t="s">
        <v>996</v>
      </c>
      <c r="C65" s="345"/>
      <c r="D65" s="188"/>
      <c r="E65" s="188"/>
      <c r="F65" s="188"/>
      <c r="G65" s="188"/>
      <c r="H65" s="188"/>
      <c r="I65" s="188"/>
      <c r="J65" s="188"/>
      <c r="K65" s="188"/>
      <c r="L65" s="188"/>
      <c r="M65" s="188"/>
      <c r="N65" s="188"/>
    </row>
    <row r="66" spans="1:16" s="17" customFormat="1" ht="10.5" customHeight="1">
      <c r="A66" s="406" t="s">
        <v>11</v>
      </c>
      <c r="B66" s="347" t="s">
        <v>796</v>
      </c>
      <c r="C66" s="188"/>
      <c r="D66" s="188"/>
      <c r="E66" s="188"/>
      <c r="F66" s="188"/>
      <c r="G66" s="188"/>
      <c r="H66" s="188"/>
      <c r="I66" s="188"/>
      <c r="J66" s="188"/>
      <c r="K66" s="188"/>
      <c r="L66" s="188"/>
      <c r="M66" s="188"/>
      <c r="N66" s="188"/>
    </row>
    <row r="67" spans="1:16" s="17" customFormat="1" ht="15.6">
      <c r="A67" s="406" t="s">
        <v>13</v>
      </c>
      <c r="B67" s="188" t="s">
        <v>14</v>
      </c>
      <c r="C67" s="188"/>
      <c r="D67" s="188"/>
      <c r="E67" s="188"/>
      <c r="F67" s="188"/>
      <c r="G67" s="188"/>
      <c r="H67" s="188"/>
      <c r="I67" s="188"/>
      <c r="J67" s="188"/>
      <c r="K67" s="188"/>
      <c r="L67" s="188"/>
      <c r="M67" s="188"/>
      <c r="N67" s="188"/>
    </row>
    <row r="68" spans="1:16" s="17" customFormat="1" ht="15.6">
      <c r="A68" s="406" t="s">
        <v>15</v>
      </c>
      <c r="B68" s="358">
        <v>0.25</v>
      </c>
      <c r="C68" s="188"/>
      <c r="D68" s="188"/>
      <c r="E68" s="188"/>
      <c r="F68" s="188"/>
      <c r="G68" s="188"/>
      <c r="H68" s="188"/>
      <c r="I68" s="188"/>
      <c r="J68" s="188"/>
      <c r="K68" s="188"/>
      <c r="L68" s="188"/>
      <c r="M68" s="188"/>
      <c r="N68" s="188"/>
    </row>
    <row r="69" spans="1:16" s="17" customFormat="1" ht="15.6">
      <c r="A69" s="406" t="s">
        <v>16</v>
      </c>
      <c r="B69" s="188" t="s">
        <v>17</v>
      </c>
      <c r="C69" s="188"/>
      <c r="D69" s="188"/>
      <c r="E69" s="188"/>
      <c r="F69" s="188"/>
      <c r="G69" s="188"/>
      <c r="H69" s="188"/>
      <c r="I69" s="188"/>
      <c r="J69" s="188"/>
      <c r="K69" s="188"/>
      <c r="L69" s="188"/>
      <c r="M69" s="188"/>
      <c r="N69" s="188"/>
    </row>
    <row r="70" spans="1:16" s="17" customFormat="1" ht="15.6">
      <c r="A70" s="406" t="s">
        <v>18</v>
      </c>
      <c r="B70" s="188" t="s">
        <v>37</v>
      </c>
      <c r="C70" s="188"/>
      <c r="D70" s="188"/>
      <c r="E70" s="188"/>
      <c r="F70" s="188"/>
      <c r="G70" s="188"/>
      <c r="H70" s="188"/>
      <c r="I70" s="188"/>
      <c r="J70" s="188"/>
      <c r="K70" s="188"/>
      <c r="L70" s="188"/>
      <c r="M70" s="188"/>
      <c r="N70" s="188"/>
    </row>
    <row r="71" spans="1:16" s="17" customFormat="1" ht="15.6">
      <c r="A71" s="407" t="s">
        <v>19</v>
      </c>
      <c r="B71" s="188"/>
      <c r="C71" s="188"/>
      <c r="D71" s="188"/>
      <c r="E71" s="188"/>
      <c r="F71" s="188"/>
      <c r="G71" s="188"/>
      <c r="H71" s="188"/>
      <c r="I71" s="188"/>
      <c r="J71" s="188"/>
      <c r="K71" s="188"/>
      <c r="L71" s="188"/>
      <c r="M71" s="188"/>
      <c r="N71" s="188"/>
    </row>
    <row r="72" spans="1:16" s="17" customFormat="1" ht="15.6">
      <c r="A72" s="407" t="s">
        <v>20</v>
      </c>
      <c r="B72" s="344" t="s">
        <v>21</v>
      </c>
      <c r="C72" s="344" t="s">
        <v>18</v>
      </c>
      <c r="D72" s="344" t="s">
        <v>22</v>
      </c>
      <c r="E72" s="344" t="s">
        <v>7</v>
      </c>
      <c r="F72" s="344" t="s">
        <v>13</v>
      </c>
      <c r="G72" s="344" t="s">
        <v>16</v>
      </c>
      <c r="H72" s="344" t="s">
        <v>23</v>
      </c>
      <c r="I72" s="344" t="s">
        <v>24</v>
      </c>
      <c r="J72" s="344" t="s">
        <v>25</v>
      </c>
      <c r="K72" s="344" t="s">
        <v>26</v>
      </c>
      <c r="L72" s="344" t="s">
        <v>27</v>
      </c>
      <c r="M72" s="344" t="s">
        <v>28</v>
      </c>
      <c r="N72" s="344" t="s">
        <v>11</v>
      </c>
    </row>
    <row r="73" spans="1:16" s="17" customFormat="1" ht="15.6">
      <c r="A73" s="381" t="s">
        <v>993</v>
      </c>
      <c r="B73" s="358">
        <v>0.25</v>
      </c>
      <c r="C73" s="188" t="s">
        <v>37</v>
      </c>
      <c r="D73" s="408" t="s">
        <v>2</v>
      </c>
      <c r="E73" s="188" t="s">
        <v>29</v>
      </c>
      <c r="F73" s="37" t="s">
        <v>14</v>
      </c>
      <c r="G73" s="188" t="s">
        <v>30</v>
      </c>
      <c r="H73" s="188">
        <v>1</v>
      </c>
      <c r="I73" s="358">
        <f>B73</f>
        <v>0.25</v>
      </c>
      <c r="J73" s="188" t="s">
        <v>31</v>
      </c>
      <c r="K73" s="188" t="s">
        <v>31</v>
      </c>
      <c r="L73" s="188" t="s">
        <v>31</v>
      </c>
      <c r="M73" s="188" t="s">
        <v>31</v>
      </c>
      <c r="N73" s="188"/>
      <c r="O73" s="180"/>
      <c r="P73" s="423"/>
    </row>
    <row r="74" spans="1:16" s="17" customFormat="1" ht="15.6">
      <c r="A74" s="112" t="s">
        <v>703</v>
      </c>
      <c r="B74" s="350">
        <v>0.25</v>
      </c>
      <c r="C74" s="188" t="s">
        <v>37</v>
      </c>
      <c r="D74" s="188" t="s">
        <v>40</v>
      </c>
      <c r="E74" s="188" t="s">
        <v>29</v>
      </c>
      <c r="F74" s="37" t="s">
        <v>59</v>
      </c>
      <c r="G74" s="188" t="s">
        <v>33</v>
      </c>
      <c r="H74" s="188">
        <v>1</v>
      </c>
      <c r="I74" s="358">
        <f t="shared" ref="I74:I75" si="7">B74</f>
        <v>0.25</v>
      </c>
      <c r="J74" s="188" t="s">
        <v>31</v>
      </c>
      <c r="K74" s="188" t="s">
        <v>31</v>
      </c>
      <c r="L74" s="188" t="s">
        <v>31</v>
      </c>
      <c r="M74" s="188" t="s">
        <v>31</v>
      </c>
      <c r="N74" s="188"/>
      <c r="O74" s="180"/>
      <c r="P74" s="423"/>
    </row>
    <row r="75" spans="1:16" s="17" customFormat="1" ht="15.6">
      <c r="A75" s="112" t="s">
        <v>876</v>
      </c>
      <c r="B75" s="350">
        <f>B74</f>
        <v>0.25</v>
      </c>
      <c r="C75" s="188" t="s">
        <v>37</v>
      </c>
      <c r="D75" s="188" t="s">
        <v>40</v>
      </c>
      <c r="E75" s="188" t="s">
        <v>29</v>
      </c>
      <c r="F75" s="37" t="s">
        <v>59</v>
      </c>
      <c r="G75" s="188" t="s">
        <v>33</v>
      </c>
      <c r="H75" s="188">
        <v>1</v>
      </c>
      <c r="I75" s="358">
        <f t="shared" si="7"/>
        <v>0.25</v>
      </c>
      <c r="J75" s="188" t="s">
        <v>31</v>
      </c>
      <c r="K75" s="188" t="s">
        <v>31</v>
      </c>
      <c r="L75" s="188" t="s">
        <v>31</v>
      </c>
      <c r="M75" s="188" t="s">
        <v>31</v>
      </c>
      <c r="N75" s="188"/>
      <c r="O75" s="180"/>
      <c r="P75" s="423"/>
    </row>
    <row r="76" spans="1:16" s="422" customFormat="1" ht="15.6">
      <c r="A76" s="370" t="s">
        <v>5</v>
      </c>
      <c r="B76" s="371" t="s">
        <v>997</v>
      </c>
      <c r="C76" s="372"/>
      <c r="D76" s="353"/>
      <c r="E76" s="353"/>
      <c r="F76" s="353"/>
      <c r="G76" s="353"/>
      <c r="H76" s="353"/>
      <c r="I76" s="353"/>
      <c r="J76" s="353"/>
      <c r="K76" s="353"/>
      <c r="L76" s="353"/>
      <c r="M76" s="353"/>
      <c r="N76" s="353"/>
    </row>
    <row r="77" spans="1:16" s="17" customFormat="1" ht="15.6">
      <c r="A77" s="346" t="s">
        <v>7</v>
      </c>
      <c r="B77" s="188" t="s">
        <v>786</v>
      </c>
      <c r="C77" s="345"/>
      <c r="D77" s="188"/>
      <c r="E77" s="188"/>
      <c r="F77" s="188"/>
      <c r="G77" s="188"/>
      <c r="H77" s="188"/>
      <c r="I77" s="188"/>
      <c r="J77" s="188"/>
      <c r="K77" s="188"/>
      <c r="L77" s="188"/>
      <c r="M77" s="188"/>
      <c r="N77" s="188"/>
    </row>
    <row r="78" spans="1:16" s="17" customFormat="1" ht="15.6">
      <c r="A78" s="424" t="s">
        <v>9</v>
      </c>
      <c r="B78" s="188" t="s">
        <v>998</v>
      </c>
      <c r="C78" s="345"/>
      <c r="D78" s="188"/>
      <c r="E78" s="188"/>
      <c r="F78" s="188"/>
      <c r="G78" s="188"/>
      <c r="H78" s="188"/>
      <c r="I78" s="188"/>
      <c r="J78" s="188"/>
      <c r="K78" s="188"/>
      <c r="L78" s="188"/>
      <c r="M78" s="188"/>
      <c r="N78" s="188"/>
    </row>
    <row r="79" spans="1:16" s="17" customFormat="1" ht="15.75" customHeight="1">
      <c r="A79" s="346" t="s">
        <v>11</v>
      </c>
      <c r="B79" s="347" t="s">
        <v>796</v>
      </c>
      <c r="C79" s="188"/>
      <c r="D79" s="188"/>
      <c r="E79" s="188"/>
      <c r="F79" s="188"/>
      <c r="G79" s="188"/>
      <c r="H79" s="188"/>
      <c r="I79" s="188"/>
      <c r="J79" s="188"/>
      <c r="K79" s="188"/>
      <c r="L79" s="188"/>
      <c r="M79" s="188"/>
      <c r="N79" s="188"/>
    </row>
    <row r="80" spans="1:16" s="17" customFormat="1" ht="15.6">
      <c r="A80" s="346" t="s">
        <v>13</v>
      </c>
      <c r="B80" s="188" t="s">
        <v>14</v>
      </c>
      <c r="C80" s="188"/>
      <c r="D80" s="188"/>
      <c r="E80" s="188"/>
      <c r="F80" s="188"/>
      <c r="G80" s="188"/>
      <c r="H80" s="188"/>
      <c r="I80" s="188"/>
      <c r="J80" s="188"/>
      <c r="K80" s="188"/>
      <c r="L80" s="188"/>
      <c r="M80" s="188"/>
      <c r="N80" s="188"/>
    </row>
    <row r="81" spans="1:19" s="17" customFormat="1" ht="15.6">
      <c r="A81" s="346" t="s">
        <v>15</v>
      </c>
      <c r="B81" s="425">
        <v>1.03</v>
      </c>
      <c r="C81" s="188"/>
      <c r="D81" s="188"/>
      <c r="E81" s="188"/>
      <c r="F81" s="188"/>
      <c r="G81" s="188"/>
      <c r="H81" s="188"/>
      <c r="I81" s="188"/>
      <c r="J81" s="188"/>
      <c r="K81" s="188"/>
      <c r="L81" s="188"/>
      <c r="M81" s="188"/>
      <c r="N81" s="188"/>
    </row>
    <row r="82" spans="1:19" s="17" customFormat="1" ht="15.6">
      <c r="A82" s="346" t="s">
        <v>16</v>
      </c>
      <c r="B82" s="188" t="s">
        <v>17</v>
      </c>
      <c r="C82" s="188"/>
      <c r="D82" s="188"/>
      <c r="E82" s="188"/>
      <c r="F82" s="188"/>
      <c r="G82" s="188"/>
      <c r="H82" s="188"/>
      <c r="I82" s="188"/>
      <c r="J82" s="188"/>
      <c r="K82" s="188"/>
      <c r="L82" s="188"/>
      <c r="M82" s="188"/>
      <c r="N82" s="188"/>
    </row>
    <row r="83" spans="1:19" s="17" customFormat="1" ht="15.6">
      <c r="A83" s="346" t="s">
        <v>18</v>
      </c>
      <c r="B83" s="188" t="s">
        <v>37</v>
      </c>
      <c r="C83" s="188"/>
      <c r="D83" s="188"/>
      <c r="E83" s="188"/>
      <c r="F83" s="188"/>
      <c r="G83" s="188"/>
      <c r="H83" s="188"/>
      <c r="I83" s="188"/>
      <c r="J83" s="188"/>
      <c r="K83" s="188"/>
      <c r="L83" s="188"/>
      <c r="M83" s="188"/>
      <c r="N83" s="188"/>
      <c r="S83" s="426"/>
    </row>
    <row r="84" spans="1:19" s="17" customFormat="1" ht="15.6">
      <c r="A84" s="343" t="s">
        <v>19</v>
      </c>
      <c r="B84" s="188"/>
      <c r="C84" s="188"/>
      <c r="D84" s="188"/>
      <c r="E84" s="188"/>
      <c r="F84" s="188"/>
      <c r="G84" s="188"/>
      <c r="H84" s="188"/>
      <c r="I84" s="188"/>
      <c r="J84" s="188"/>
      <c r="K84" s="188"/>
      <c r="L84" s="188"/>
      <c r="M84" s="188"/>
      <c r="N84" s="188"/>
    </row>
    <row r="85" spans="1:19" s="17" customFormat="1" ht="15.6">
      <c r="A85" s="344" t="s">
        <v>20</v>
      </c>
      <c r="B85" s="344" t="s">
        <v>21</v>
      </c>
      <c r="C85" s="344" t="s">
        <v>18</v>
      </c>
      <c r="D85" s="344" t="s">
        <v>22</v>
      </c>
      <c r="E85" s="344" t="s">
        <v>7</v>
      </c>
      <c r="F85" s="344" t="s">
        <v>13</v>
      </c>
      <c r="G85" s="344" t="s">
        <v>16</v>
      </c>
      <c r="H85" s="344" t="s">
        <v>23</v>
      </c>
      <c r="I85" s="344" t="s">
        <v>24</v>
      </c>
      <c r="J85" s="344" t="s">
        <v>25</v>
      </c>
      <c r="K85" s="344" t="s">
        <v>26</v>
      </c>
      <c r="L85" s="344" t="s">
        <v>27</v>
      </c>
      <c r="M85" s="344" t="s">
        <v>28</v>
      </c>
      <c r="N85" s="344" t="s">
        <v>11</v>
      </c>
    </row>
    <row r="86" spans="1:19" s="17" customFormat="1" ht="15.6">
      <c r="A86" s="188" t="s">
        <v>997</v>
      </c>
      <c r="B86" s="358">
        <v>1.03</v>
      </c>
      <c r="C86" s="188" t="s">
        <v>37</v>
      </c>
      <c r="D86" s="408" t="s">
        <v>2</v>
      </c>
      <c r="E86" s="188" t="s">
        <v>29</v>
      </c>
      <c r="F86" s="188" t="s">
        <v>14</v>
      </c>
      <c r="G86" s="188" t="s">
        <v>879</v>
      </c>
      <c r="H86" s="188">
        <v>1</v>
      </c>
      <c r="I86" s="358">
        <f>B86</f>
        <v>1.03</v>
      </c>
      <c r="J86" s="188" t="s">
        <v>31</v>
      </c>
      <c r="K86" s="188" t="s">
        <v>31</v>
      </c>
      <c r="L86" s="188" t="s">
        <v>31</v>
      </c>
      <c r="M86" s="188" t="s">
        <v>31</v>
      </c>
      <c r="N86" s="188"/>
      <c r="O86" s="180"/>
      <c r="P86" s="423"/>
    </row>
    <row r="87" spans="1:19" s="17" customFormat="1" ht="15.6">
      <c r="A87" s="88" t="s">
        <v>653</v>
      </c>
      <c r="B87" s="358">
        <v>1.03</v>
      </c>
      <c r="C87" s="188" t="s">
        <v>37</v>
      </c>
      <c r="D87" s="188" t="s">
        <v>40</v>
      </c>
      <c r="E87" s="188" t="s">
        <v>29</v>
      </c>
      <c r="F87" s="37" t="s">
        <v>59</v>
      </c>
      <c r="G87" s="188" t="s">
        <v>33</v>
      </c>
      <c r="H87" s="188">
        <v>1</v>
      </c>
      <c r="I87" s="358">
        <f t="shared" ref="I87:I89" si="8">B87</f>
        <v>1.03</v>
      </c>
      <c r="J87" s="188" t="s">
        <v>31</v>
      </c>
      <c r="K87" s="188" t="s">
        <v>31</v>
      </c>
      <c r="L87" s="188" t="s">
        <v>31</v>
      </c>
      <c r="M87" s="188" t="s">
        <v>31</v>
      </c>
      <c r="N87" s="188"/>
      <c r="O87" s="180"/>
      <c r="P87" s="423"/>
    </row>
    <row r="88" spans="1:19" s="17" customFormat="1" ht="15.6">
      <c r="A88" s="88" t="s">
        <v>624</v>
      </c>
      <c r="B88" s="358">
        <v>1.03</v>
      </c>
      <c r="C88" s="188" t="s">
        <v>37</v>
      </c>
      <c r="D88" s="188" t="s">
        <v>40</v>
      </c>
      <c r="E88" s="188" t="s">
        <v>29</v>
      </c>
      <c r="F88" s="37" t="s">
        <v>59</v>
      </c>
      <c r="G88" s="188" t="s">
        <v>33</v>
      </c>
      <c r="H88" s="188">
        <v>1</v>
      </c>
      <c r="I88" s="358">
        <f t="shared" si="8"/>
        <v>1.03</v>
      </c>
      <c r="J88" s="188" t="s">
        <v>31</v>
      </c>
      <c r="K88" s="188" t="s">
        <v>31</v>
      </c>
      <c r="L88" s="188" t="s">
        <v>31</v>
      </c>
      <c r="M88" s="188" t="s">
        <v>31</v>
      </c>
      <c r="N88" s="188"/>
      <c r="O88" s="180"/>
      <c r="P88" s="423"/>
    </row>
    <row r="89" spans="1:19" s="17" customFormat="1" ht="15.6">
      <c r="A89" s="88" t="s">
        <v>880</v>
      </c>
      <c r="B89" s="358">
        <v>1.03</v>
      </c>
      <c r="C89" s="188" t="s">
        <v>37</v>
      </c>
      <c r="D89" s="188" t="s">
        <v>40</v>
      </c>
      <c r="E89" s="188" t="s">
        <v>29</v>
      </c>
      <c r="F89" s="37" t="s">
        <v>35</v>
      </c>
      <c r="G89" s="188" t="s">
        <v>33</v>
      </c>
      <c r="H89" s="188">
        <v>1</v>
      </c>
      <c r="I89" s="358">
        <f t="shared" si="8"/>
        <v>1.03</v>
      </c>
      <c r="J89" s="188" t="s">
        <v>31</v>
      </c>
      <c r="K89" s="188" t="s">
        <v>31</v>
      </c>
      <c r="L89" s="188" t="s">
        <v>31</v>
      </c>
      <c r="M89" s="188" t="s">
        <v>31</v>
      </c>
      <c r="N89" s="188"/>
      <c r="O89" s="180"/>
      <c r="P89" s="423"/>
    </row>
    <row r="90" spans="1:19" s="17" customFormat="1" ht="15.6">
      <c r="A90" s="370" t="s">
        <v>5</v>
      </c>
      <c r="B90" s="371" t="s">
        <v>979</v>
      </c>
      <c r="C90" s="372"/>
      <c r="D90" s="422"/>
      <c r="E90" s="353"/>
      <c r="F90" s="353"/>
      <c r="G90" s="353"/>
      <c r="H90" s="353"/>
      <c r="I90" s="353"/>
      <c r="J90" s="353"/>
      <c r="K90" s="353"/>
      <c r="L90" s="353"/>
      <c r="M90" s="353"/>
      <c r="N90" s="188"/>
    </row>
    <row r="91" spans="1:19" s="17" customFormat="1" ht="15.6">
      <c r="A91" s="346" t="s">
        <v>7</v>
      </c>
      <c r="B91" s="188" t="s">
        <v>786</v>
      </c>
      <c r="C91" s="345"/>
      <c r="D91" s="188"/>
      <c r="E91" s="188"/>
      <c r="F91" s="188"/>
      <c r="G91" s="188"/>
      <c r="H91" s="188"/>
      <c r="I91" s="188"/>
      <c r="J91" s="188"/>
      <c r="K91" s="188"/>
      <c r="L91" s="188"/>
      <c r="M91" s="188"/>
      <c r="N91" s="188"/>
    </row>
    <row r="92" spans="1:19" s="17" customFormat="1" ht="15.6">
      <c r="A92" s="346" t="s">
        <v>9</v>
      </c>
      <c r="B92" s="381" t="s">
        <v>999</v>
      </c>
      <c r="C92" s="345"/>
      <c r="D92" s="188"/>
      <c r="E92" s="188"/>
      <c r="F92" s="188"/>
      <c r="G92" s="188"/>
      <c r="H92" s="188"/>
      <c r="I92" s="188"/>
      <c r="J92" s="188"/>
      <c r="K92" s="188"/>
      <c r="L92" s="188"/>
      <c r="M92" s="188"/>
      <c r="N92" s="188"/>
    </row>
    <row r="93" spans="1:19" s="17" customFormat="1" ht="15.6">
      <c r="A93" s="346" t="s">
        <v>11</v>
      </c>
      <c r="B93" s="347" t="s">
        <v>788</v>
      </c>
      <c r="C93" s="188"/>
      <c r="D93" s="188"/>
      <c r="E93" s="188"/>
      <c r="F93" s="188"/>
      <c r="G93" s="188"/>
      <c r="H93" s="188"/>
      <c r="I93" s="188"/>
      <c r="J93" s="188"/>
      <c r="K93" s="188"/>
      <c r="L93" s="188"/>
      <c r="M93" s="188"/>
      <c r="N93" s="188"/>
    </row>
    <row r="94" spans="1:19" s="17" customFormat="1" ht="15.6">
      <c r="A94" s="346" t="s">
        <v>13</v>
      </c>
      <c r="B94" s="37" t="s">
        <v>14</v>
      </c>
      <c r="C94" s="188"/>
      <c r="D94" s="188"/>
      <c r="E94" s="188"/>
      <c r="F94" s="188"/>
      <c r="G94" s="188"/>
      <c r="H94" s="188"/>
      <c r="I94" s="188"/>
      <c r="J94" s="188"/>
      <c r="K94" s="188"/>
      <c r="L94" s="188"/>
      <c r="M94" s="188"/>
      <c r="N94" s="188"/>
    </row>
    <row r="95" spans="1:19" s="17" customFormat="1" ht="15.6">
      <c r="A95" s="346" t="s">
        <v>15</v>
      </c>
      <c r="B95" s="188">
        <f>B100</f>
        <v>1.03</v>
      </c>
      <c r="C95" s="188"/>
      <c r="D95" s="188"/>
      <c r="E95" s="188"/>
      <c r="F95" s="188"/>
      <c r="G95" s="188"/>
      <c r="H95" s="188"/>
      <c r="I95" s="188"/>
      <c r="J95" s="188"/>
      <c r="K95" s="188"/>
      <c r="L95" s="188"/>
      <c r="M95" s="188"/>
      <c r="N95" s="188"/>
    </row>
    <row r="96" spans="1:19" s="17" customFormat="1" ht="15.6">
      <c r="A96" s="346" t="s">
        <v>16</v>
      </c>
      <c r="B96" s="188" t="s">
        <v>17</v>
      </c>
      <c r="C96" s="188"/>
      <c r="D96" s="188"/>
      <c r="E96" s="188"/>
      <c r="F96" s="188"/>
      <c r="G96" s="188"/>
      <c r="H96" s="188"/>
      <c r="I96" s="188"/>
      <c r="J96" s="188"/>
      <c r="K96" s="188"/>
      <c r="L96" s="188"/>
      <c r="M96" s="188"/>
      <c r="N96" s="188"/>
    </row>
    <row r="97" spans="1:14" s="17" customFormat="1" ht="15.6">
      <c r="A97" s="346" t="s">
        <v>18</v>
      </c>
      <c r="B97" s="188" t="s">
        <v>37</v>
      </c>
      <c r="C97" s="188"/>
      <c r="D97" s="188"/>
      <c r="E97" s="188"/>
      <c r="F97" s="188"/>
      <c r="G97" s="188"/>
      <c r="H97" s="188"/>
      <c r="I97" s="188"/>
      <c r="J97" s="188"/>
      <c r="K97" s="188"/>
      <c r="L97" s="188"/>
      <c r="M97" s="188"/>
      <c r="N97" s="188"/>
    </row>
    <row r="98" spans="1:14" s="17" customFormat="1" ht="15.6">
      <c r="A98" s="343" t="s">
        <v>19</v>
      </c>
      <c r="B98" s="188"/>
      <c r="C98" s="188"/>
      <c r="D98" s="188"/>
      <c r="E98" s="188"/>
      <c r="F98" s="188"/>
      <c r="G98" s="188"/>
      <c r="H98" s="188"/>
      <c r="I98" s="188"/>
      <c r="J98" s="188"/>
      <c r="K98" s="188"/>
      <c r="L98" s="188"/>
      <c r="M98" s="188"/>
      <c r="N98" s="188"/>
    </row>
    <row r="99" spans="1:14" s="17" customFormat="1" ht="15.6">
      <c r="A99" s="343" t="s">
        <v>20</v>
      </c>
      <c r="B99" s="344" t="s">
        <v>21</v>
      </c>
      <c r="C99" s="344" t="s">
        <v>18</v>
      </c>
      <c r="D99" s="344" t="s">
        <v>22</v>
      </c>
      <c r="E99" s="344" t="s">
        <v>7</v>
      </c>
      <c r="F99" s="344" t="s">
        <v>13</v>
      </c>
      <c r="G99" s="344" t="s">
        <v>16</v>
      </c>
      <c r="H99" s="344" t="s">
        <v>23</v>
      </c>
      <c r="I99" s="344" t="s">
        <v>24</v>
      </c>
      <c r="J99" s="344" t="s">
        <v>25</v>
      </c>
      <c r="K99" s="344" t="s">
        <v>26</v>
      </c>
      <c r="L99" s="344" t="s">
        <v>27</v>
      </c>
      <c r="M99" s="344" t="s">
        <v>28</v>
      </c>
      <c r="N99" s="344" t="s">
        <v>11</v>
      </c>
    </row>
    <row r="100" spans="1:14" s="17" customFormat="1" ht="15.6">
      <c r="A100" s="192" t="s">
        <v>979</v>
      </c>
      <c r="B100" s="192">
        <v>1.03</v>
      </c>
      <c r="C100" s="188" t="s">
        <v>37</v>
      </c>
      <c r="D100" s="188" t="s">
        <v>2</v>
      </c>
      <c r="E100" s="188" t="s">
        <v>29</v>
      </c>
      <c r="F100" s="37" t="s">
        <v>14</v>
      </c>
      <c r="G100" s="188" t="s">
        <v>30</v>
      </c>
      <c r="H100" s="188">
        <v>1</v>
      </c>
      <c r="I100" s="188">
        <f>B100</f>
        <v>1.03</v>
      </c>
      <c r="J100" s="188" t="s">
        <v>31</v>
      </c>
      <c r="K100" s="188" t="s">
        <v>31</v>
      </c>
      <c r="L100" s="188" t="s">
        <v>31</v>
      </c>
      <c r="M100" s="188" t="s">
        <v>31</v>
      </c>
      <c r="N100" s="188"/>
    </row>
    <row r="101" spans="1:14" s="17" customFormat="1" ht="15.6">
      <c r="A101" s="188" t="s">
        <v>997</v>
      </c>
      <c r="B101" s="192">
        <v>1.03</v>
      </c>
      <c r="C101" s="188" t="s">
        <v>37</v>
      </c>
      <c r="D101" s="188" t="s">
        <v>2</v>
      </c>
      <c r="E101" s="188" t="s">
        <v>29</v>
      </c>
      <c r="F101" s="37" t="s">
        <v>14</v>
      </c>
      <c r="G101" s="188" t="s">
        <v>33</v>
      </c>
      <c r="H101" s="188">
        <v>1</v>
      </c>
      <c r="I101" s="188">
        <f>B101</f>
        <v>1.03</v>
      </c>
      <c r="J101" s="188" t="s">
        <v>31</v>
      </c>
      <c r="K101" s="188" t="s">
        <v>31</v>
      </c>
      <c r="L101" s="188" t="s">
        <v>31</v>
      </c>
      <c r="M101" s="188" t="s">
        <v>31</v>
      </c>
      <c r="N101" s="188"/>
    </row>
    <row r="102" spans="1:14" s="17" customFormat="1" ht="15.6">
      <c r="A102" s="130" t="s">
        <v>882</v>
      </c>
      <c r="B102" s="188">
        <v>1.2E-2</v>
      </c>
      <c r="C102" s="188" t="s">
        <v>37</v>
      </c>
      <c r="D102" s="188" t="s">
        <v>40</v>
      </c>
      <c r="E102" s="188" t="s">
        <v>29</v>
      </c>
      <c r="F102" s="37" t="s">
        <v>82</v>
      </c>
      <c r="G102" s="188" t="s">
        <v>33</v>
      </c>
      <c r="H102" s="188">
        <v>1</v>
      </c>
      <c r="I102" s="188">
        <f t="shared" ref="I102:I104" si="9">B102</f>
        <v>1.2E-2</v>
      </c>
      <c r="J102" s="188" t="s">
        <v>31</v>
      </c>
      <c r="K102" s="188" t="s">
        <v>31</v>
      </c>
      <c r="L102" s="188" t="s">
        <v>31</v>
      </c>
      <c r="M102" s="188" t="s">
        <v>31</v>
      </c>
      <c r="N102" s="188"/>
    </row>
    <row r="103" spans="1:14" s="17" customFormat="1" ht="15.6">
      <c r="A103" s="130" t="s">
        <v>883</v>
      </c>
      <c r="B103" s="188">
        <v>0.28000000000000003</v>
      </c>
      <c r="C103" s="188" t="s">
        <v>609</v>
      </c>
      <c r="D103" s="188" t="s">
        <v>40</v>
      </c>
      <c r="E103" s="188" t="s">
        <v>29</v>
      </c>
      <c r="F103" s="37" t="s">
        <v>59</v>
      </c>
      <c r="G103" s="188" t="s">
        <v>33</v>
      </c>
      <c r="H103" s="188">
        <v>1</v>
      </c>
      <c r="I103" s="188">
        <f t="shared" si="9"/>
        <v>0.28000000000000003</v>
      </c>
      <c r="J103" s="188" t="s">
        <v>31</v>
      </c>
      <c r="K103" s="188" t="s">
        <v>31</v>
      </c>
      <c r="L103" s="188" t="s">
        <v>31</v>
      </c>
      <c r="M103" s="188" t="s">
        <v>31</v>
      </c>
      <c r="N103" s="188"/>
    </row>
    <row r="104" spans="1:14" s="17" customFormat="1" ht="15.6">
      <c r="A104" s="130" t="s">
        <v>599</v>
      </c>
      <c r="B104" s="188">
        <v>1.2E-2</v>
      </c>
      <c r="C104" s="188" t="s">
        <v>37</v>
      </c>
      <c r="D104" s="188" t="s">
        <v>40</v>
      </c>
      <c r="E104" s="188" t="s">
        <v>29</v>
      </c>
      <c r="F104" s="37" t="s">
        <v>59</v>
      </c>
      <c r="G104" s="188" t="s">
        <v>33</v>
      </c>
      <c r="H104" s="188">
        <v>1</v>
      </c>
      <c r="I104" s="188">
        <f t="shared" si="9"/>
        <v>1.2E-2</v>
      </c>
      <c r="J104" s="188" t="s">
        <v>31</v>
      </c>
      <c r="K104" s="188" t="s">
        <v>31</v>
      </c>
      <c r="L104" s="188" t="s">
        <v>31</v>
      </c>
      <c r="M104" s="188" t="s">
        <v>31</v>
      </c>
      <c r="N104" s="188"/>
    </row>
  </sheetData>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0666C-EE0D-4648-8331-23F46A0DDD68}">
  <sheetPr>
    <tabColor theme="8"/>
  </sheetPr>
  <dimension ref="A1:U47"/>
  <sheetViews>
    <sheetView topLeftCell="A6" zoomScale="70" zoomScaleNormal="70" workbookViewId="0">
      <selection activeCell="A12" sqref="A12"/>
    </sheetView>
  </sheetViews>
  <sheetFormatPr defaultRowHeight="14.45"/>
  <cols>
    <col min="1" max="1" width="62.140625" customWidth="1"/>
    <col min="2" max="2" width="13.5703125" customWidth="1"/>
    <col min="4" max="4" width="23.42578125" customWidth="1"/>
    <col min="7" max="7" width="12.7109375"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s="70" customFormat="1">
      <c r="A2" s="370" t="s">
        <v>5</v>
      </c>
      <c r="B2" s="371" t="s">
        <v>976</v>
      </c>
      <c r="C2" s="353"/>
      <c r="D2" s="353"/>
      <c r="E2" s="353"/>
      <c r="F2" s="353"/>
      <c r="G2" s="353"/>
      <c r="H2" s="353"/>
      <c r="I2" s="353"/>
      <c r="J2" s="353"/>
      <c r="K2" s="353"/>
      <c r="L2" s="353"/>
      <c r="M2" s="353"/>
      <c r="N2" s="353"/>
      <c r="O2" s="353"/>
      <c r="P2" s="353"/>
      <c r="Q2" s="353"/>
      <c r="R2" s="353"/>
      <c r="S2" s="353"/>
      <c r="T2" s="353"/>
      <c r="U2" s="353"/>
    </row>
    <row r="3" spans="1:21">
      <c r="A3" s="346" t="s">
        <v>7</v>
      </c>
      <c r="B3" s="188" t="s">
        <v>786</v>
      </c>
      <c r="C3" s="345"/>
      <c r="D3" s="188"/>
      <c r="E3" s="188"/>
      <c r="F3" s="188"/>
      <c r="G3" s="188"/>
      <c r="H3" s="188"/>
      <c r="I3" s="188"/>
      <c r="J3" s="188"/>
      <c r="K3" s="188"/>
      <c r="L3" s="188"/>
      <c r="M3" s="188"/>
      <c r="N3" s="188"/>
      <c r="O3" s="188"/>
      <c r="P3" s="188"/>
      <c r="Q3" s="188"/>
      <c r="R3" s="188"/>
      <c r="S3" s="188"/>
      <c r="T3" s="188"/>
      <c r="U3" s="188"/>
    </row>
    <row r="4" spans="1:21">
      <c r="A4" s="424" t="s">
        <v>9</v>
      </c>
      <c r="B4" s="188" t="s">
        <v>1000</v>
      </c>
      <c r="C4" s="345"/>
      <c r="D4" s="188"/>
      <c r="E4" s="188"/>
      <c r="F4" s="188"/>
      <c r="G4" s="188"/>
      <c r="H4" s="188"/>
      <c r="I4" s="188"/>
      <c r="J4" s="188"/>
      <c r="K4" s="188"/>
      <c r="L4" s="188"/>
      <c r="M4" s="188"/>
      <c r="N4" s="188"/>
      <c r="O4" s="188"/>
      <c r="P4" s="188"/>
      <c r="Q4" s="188"/>
      <c r="R4" s="188"/>
      <c r="S4" s="188"/>
      <c r="T4" s="188"/>
      <c r="U4" s="188"/>
    </row>
    <row r="5" spans="1:21" ht="15.75" customHeight="1">
      <c r="A5" s="346" t="s">
        <v>11</v>
      </c>
      <c r="B5" s="347" t="s">
        <v>796</v>
      </c>
      <c r="C5" s="188"/>
      <c r="D5" s="188"/>
      <c r="E5" s="188"/>
      <c r="F5" s="188"/>
      <c r="G5" s="188"/>
      <c r="H5" s="188"/>
      <c r="I5" s="188"/>
      <c r="J5" s="188"/>
      <c r="K5" s="188"/>
      <c r="L5" s="188"/>
      <c r="M5" s="188"/>
      <c r="N5" s="188"/>
      <c r="O5" s="188"/>
      <c r="P5" s="188"/>
      <c r="Q5" s="188"/>
      <c r="R5" s="188"/>
      <c r="S5" s="188"/>
      <c r="T5" s="188"/>
      <c r="U5" s="188"/>
    </row>
    <row r="6" spans="1:21">
      <c r="A6" s="346" t="s">
        <v>13</v>
      </c>
      <c r="B6" s="188" t="s">
        <v>14</v>
      </c>
      <c r="C6" s="188"/>
      <c r="D6" s="188"/>
      <c r="E6" s="188"/>
      <c r="F6" s="188"/>
      <c r="G6" s="188"/>
      <c r="H6" s="188"/>
      <c r="I6" s="188"/>
      <c r="J6" s="188"/>
      <c r="K6" s="188"/>
      <c r="L6" s="188"/>
      <c r="M6" s="188"/>
      <c r="N6" s="188"/>
      <c r="O6" s="188"/>
      <c r="P6" s="188"/>
      <c r="Q6" s="188"/>
      <c r="R6" s="188"/>
      <c r="S6" s="188"/>
      <c r="T6" s="188"/>
      <c r="U6" s="188"/>
    </row>
    <row r="7" spans="1:21">
      <c r="A7" s="346" t="s">
        <v>15</v>
      </c>
      <c r="B7" s="415">
        <f>B12</f>
        <v>0.06</v>
      </c>
      <c r="C7" s="188"/>
      <c r="D7" s="188"/>
      <c r="E7" s="188"/>
      <c r="F7" s="188"/>
      <c r="G7" s="188"/>
      <c r="H7" s="188"/>
      <c r="I7" s="188"/>
      <c r="J7" s="188"/>
      <c r="K7" s="188"/>
      <c r="L7" s="188"/>
      <c r="M7" s="188"/>
      <c r="N7" s="188"/>
      <c r="O7" s="188"/>
      <c r="P7" s="188"/>
      <c r="Q7" s="188"/>
      <c r="R7" s="188"/>
      <c r="S7" s="188"/>
      <c r="T7" s="188"/>
      <c r="U7" s="188"/>
    </row>
    <row r="8" spans="1:21">
      <c r="A8" s="346" t="s">
        <v>16</v>
      </c>
      <c r="B8" s="188" t="s">
        <v>17</v>
      </c>
      <c r="C8" s="188"/>
      <c r="D8" s="188"/>
      <c r="E8" s="188"/>
      <c r="F8" s="188"/>
      <c r="G8" s="188"/>
      <c r="H8" s="188"/>
      <c r="I8" s="188"/>
      <c r="J8" s="188"/>
      <c r="K8" s="188"/>
      <c r="L8" s="188"/>
      <c r="M8" s="188"/>
      <c r="N8" s="188"/>
      <c r="O8" s="188"/>
      <c r="P8" s="188"/>
      <c r="Q8" s="188"/>
      <c r="R8" s="344" t="s">
        <v>885</v>
      </c>
      <c r="S8" s="188"/>
      <c r="T8" s="188"/>
      <c r="U8" s="188"/>
    </row>
    <row r="9" spans="1:21">
      <c r="A9" s="346" t="s">
        <v>18</v>
      </c>
      <c r="B9" s="188" t="s">
        <v>37</v>
      </c>
      <c r="C9" s="188"/>
      <c r="D9" s="188"/>
      <c r="E9" s="188"/>
      <c r="F9" s="188"/>
      <c r="G9" s="188"/>
      <c r="H9" s="188"/>
      <c r="I9" s="188"/>
      <c r="J9" s="188"/>
      <c r="K9" s="188"/>
      <c r="L9" s="188"/>
      <c r="M9" s="188"/>
      <c r="N9" s="188"/>
      <c r="O9" s="188"/>
      <c r="P9" s="188"/>
      <c r="Q9" s="188"/>
      <c r="R9" s="188" t="s">
        <v>886</v>
      </c>
      <c r="S9" s="188">
        <v>8900</v>
      </c>
      <c r="T9" s="188" t="s">
        <v>887</v>
      </c>
      <c r="U9" s="188"/>
    </row>
    <row r="10" spans="1:21">
      <c r="A10" s="343" t="s">
        <v>19</v>
      </c>
      <c r="B10" s="188"/>
      <c r="C10" s="188"/>
      <c r="D10" s="188"/>
      <c r="E10" s="188"/>
      <c r="F10" s="188"/>
      <c r="G10" s="188"/>
      <c r="H10" s="188"/>
      <c r="I10" s="188"/>
      <c r="J10" s="188"/>
      <c r="K10" s="188"/>
      <c r="L10" s="188"/>
      <c r="M10" s="188"/>
      <c r="N10" s="188"/>
      <c r="O10" s="188"/>
      <c r="P10" s="188"/>
      <c r="Q10" s="188"/>
      <c r="R10" s="188" t="s">
        <v>888</v>
      </c>
      <c r="S10" s="188">
        <f>5*10^-6</f>
        <v>4.9999999999999996E-6</v>
      </c>
      <c r="T10" s="188" t="s">
        <v>889</v>
      </c>
      <c r="U10" s="188"/>
    </row>
    <row r="11" spans="1:21">
      <c r="A11" s="344"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427" t="s">
        <v>890</v>
      </c>
      <c r="S11" s="428">
        <f>S10*S9</f>
        <v>4.4499999999999998E-2</v>
      </c>
      <c r="T11" s="429" t="s">
        <v>891</v>
      </c>
      <c r="U11" s="188"/>
    </row>
    <row r="12" spans="1:21">
      <c r="A12" s="188" t="s">
        <v>976</v>
      </c>
      <c r="B12" s="461">
        <v>0.06</v>
      </c>
      <c r="C12" s="188" t="s">
        <v>37</v>
      </c>
      <c r="D12" s="408" t="s">
        <v>2</v>
      </c>
      <c r="E12" s="188" t="s">
        <v>29</v>
      </c>
      <c r="F12" s="188" t="s">
        <v>14</v>
      </c>
      <c r="G12" s="188" t="s">
        <v>30</v>
      </c>
      <c r="H12" s="188">
        <v>1</v>
      </c>
      <c r="I12" s="415">
        <f>B12</f>
        <v>0.06</v>
      </c>
      <c r="J12" s="188" t="s">
        <v>31</v>
      </c>
      <c r="K12" s="188" t="s">
        <v>31</v>
      </c>
      <c r="L12" s="188" t="s">
        <v>31</v>
      </c>
      <c r="M12" s="188" t="s">
        <v>31</v>
      </c>
      <c r="N12" s="188"/>
      <c r="O12" s="401" t="s">
        <v>892</v>
      </c>
      <c r="P12" s="462">
        <f>B12*100</f>
        <v>6</v>
      </c>
      <c r="Q12" s="188"/>
      <c r="R12" s="188"/>
      <c r="S12" s="188"/>
      <c r="T12" s="188"/>
      <c r="U12" s="188"/>
    </row>
    <row r="13" spans="1:21">
      <c r="A13" s="188" t="s">
        <v>1001</v>
      </c>
      <c r="B13" s="461">
        <v>0.06</v>
      </c>
      <c r="C13" s="188" t="s">
        <v>609</v>
      </c>
      <c r="D13" s="408" t="s">
        <v>2</v>
      </c>
      <c r="E13" s="188" t="s">
        <v>29</v>
      </c>
      <c r="F13" s="188" t="s">
        <v>14</v>
      </c>
      <c r="G13" s="188" t="s">
        <v>33</v>
      </c>
      <c r="H13" s="188">
        <v>1</v>
      </c>
      <c r="I13" s="415">
        <f t="shared" ref="I13:I14" si="0">B13</f>
        <v>0.06</v>
      </c>
      <c r="J13" s="188">
        <v>7.2284161474004766E-2</v>
      </c>
      <c r="K13" s="188" t="s">
        <v>31</v>
      </c>
      <c r="L13" s="188" t="s">
        <v>31</v>
      </c>
      <c r="M13" s="188" t="s">
        <v>31</v>
      </c>
      <c r="N13" s="188"/>
      <c r="O13" s="401" t="s">
        <v>892</v>
      </c>
      <c r="P13" s="462">
        <f>B13*100</f>
        <v>6</v>
      </c>
      <c r="Q13" s="188"/>
      <c r="R13" s="188" t="s">
        <v>554</v>
      </c>
      <c r="S13" s="188"/>
      <c r="T13" s="188"/>
      <c r="U13" s="410"/>
    </row>
    <row r="14" spans="1:21">
      <c r="A14" s="192" t="s">
        <v>994</v>
      </c>
      <c r="B14" s="420">
        <f>T14</f>
        <v>4.45E-3</v>
      </c>
      <c r="C14" s="188" t="s">
        <v>37</v>
      </c>
      <c r="D14" s="408" t="s">
        <v>2</v>
      </c>
      <c r="E14" s="188" t="s">
        <v>29</v>
      </c>
      <c r="F14" s="37" t="s">
        <v>14</v>
      </c>
      <c r="G14" s="188" t="s">
        <v>33</v>
      </c>
      <c r="H14" s="188">
        <v>1</v>
      </c>
      <c r="I14" s="415">
        <f t="shared" si="0"/>
        <v>4.45E-3</v>
      </c>
      <c r="J14" s="188">
        <v>7.2284161474004766E-2</v>
      </c>
      <c r="K14" s="188" t="s">
        <v>31</v>
      </c>
      <c r="L14" s="188" t="s">
        <v>31</v>
      </c>
      <c r="M14" s="188" t="s">
        <v>31</v>
      </c>
      <c r="N14" s="188"/>
      <c r="O14" s="432"/>
      <c r="P14" s="433"/>
      <c r="Q14" s="188"/>
      <c r="R14" s="430">
        <v>0.1</v>
      </c>
      <c r="S14" s="431" t="s">
        <v>610</v>
      </c>
      <c r="T14" s="430">
        <f>R14*S11</f>
        <v>4.45E-3</v>
      </c>
      <c r="U14" s="431" t="s">
        <v>241</v>
      </c>
    </row>
    <row r="15" spans="1:21">
      <c r="A15" s="346" t="s">
        <v>799</v>
      </c>
      <c r="B15" s="188">
        <f>Q15</f>
        <v>0.8</v>
      </c>
      <c r="C15" s="188" t="s">
        <v>37</v>
      </c>
      <c r="D15" s="188" t="s">
        <v>40</v>
      </c>
      <c r="E15" s="188" t="s">
        <v>29</v>
      </c>
      <c r="F15" s="37" t="s">
        <v>74</v>
      </c>
      <c r="G15" s="188" t="s">
        <v>33</v>
      </c>
      <c r="H15" s="188">
        <v>2</v>
      </c>
      <c r="I15" s="188">
        <f t="shared" ref="I15" si="1">LN(B15)</f>
        <v>-0.22314355131420971</v>
      </c>
      <c r="J15" s="188">
        <v>7.2284161474004766E-2</v>
      </c>
      <c r="K15" s="188" t="s">
        <v>31</v>
      </c>
      <c r="L15" s="188" t="s">
        <v>31</v>
      </c>
      <c r="M15" s="188" t="s">
        <v>31</v>
      </c>
      <c r="N15" s="188"/>
      <c r="O15" s="401" t="s">
        <v>241</v>
      </c>
      <c r="P15" s="414">
        <v>0.8</v>
      </c>
      <c r="Q15" s="188">
        <f>P15</f>
        <v>0.8</v>
      </c>
      <c r="R15" s="188"/>
      <c r="S15" s="188"/>
      <c r="T15" s="188"/>
      <c r="U15" s="188"/>
    </row>
    <row r="16" spans="1:21">
      <c r="A16" s="88" t="s">
        <v>874</v>
      </c>
      <c r="B16" s="463">
        <f t="shared" ref="B16:B17" si="2">Q16</f>
        <v>1E-13</v>
      </c>
      <c r="C16" s="188" t="s">
        <v>37</v>
      </c>
      <c r="D16" s="188" t="s">
        <v>40</v>
      </c>
      <c r="E16" s="188" t="s">
        <v>29</v>
      </c>
      <c r="F16" s="37" t="s">
        <v>59</v>
      </c>
      <c r="G16" s="188" t="s">
        <v>33</v>
      </c>
      <c r="H16" s="188">
        <v>2</v>
      </c>
      <c r="I16" s="188">
        <f>LN(B16)</f>
        <v>-29.933606208922594</v>
      </c>
      <c r="J16" s="188">
        <v>7.2284161474004766E-2</v>
      </c>
      <c r="K16" s="188" t="s">
        <v>31</v>
      </c>
      <c r="L16" s="188" t="s">
        <v>31</v>
      </c>
      <c r="M16" s="188" t="s">
        <v>31</v>
      </c>
      <c r="N16" s="188"/>
      <c r="O16" s="416" t="s">
        <v>538</v>
      </c>
      <c r="P16" s="439">
        <v>1E-10</v>
      </c>
      <c r="Q16" s="188">
        <f>0.001*P16</f>
        <v>1E-13</v>
      </c>
      <c r="R16" s="188"/>
      <c r="S16" s="188"/>
      <c r="T16" s="188"/>
      <c r="U16" s="188"/>
    </row>
    <row r="17" spans="1:21">
      <c r="A17" s="88" t="s">
        <v>76</v>
      </c>
      <c r="B17" s="188">
        <f t="shared" si="2"/>
        <v>8.0000000000000004E-4</v>
      </c>
      <c r="C17" s="188" t="s">
        <v>42</v>
      </c>
      <c r="D17" s="188" t="s">
        <v>40</v>
      </c>
      <c r="E17" s="188" t="s">
        <v>29</v>
      </c>
      <c r="F17" s="37" t="s">
        <v>74</v>
      </c>
      <c r="G17" s="188" t="s">
        <v>33</v>
      </c>
      <c r="H17" s="188">
        <v>2</v>
      </c>
      <c r="I17" s="188">
        <f t="shared" ref="I17" si="3">LN(B17)</f>
        <v>-7.1308988302963465</v>
      </c>
      <c r="J17" s="188">
        <v>7.2284161474004766E-2</v>
      </c>
      <c r="K17" s="188" t="s">
        <v>31</v>
      </c>
      <c r="L17" s="188" t="s">
        <v>31</v>
      </c>
      <c r="M17" s="188" t="s">
        <v>31</v>
      </c>
      <c r="N17" s="188"/>
      <c r="O17" s="418" t="s">
        <v>863</v>
      </c>
      <c r="P17" s="419">
        <v>0.8</v>
      </c>
      <c r="Q17" s="188">
        <f>0.001*P17</f>
        <v>8.0000000000000004E-4</v>
      </c>
      <c r="R17" s="188"/>
      <c r="S17" s="188"/>
      <c r="T17" s="188"/>
      <c r="U17" s="188"/>
    </row>
    <row r="18" spans="1:21" s="70" customFormat="1">
      <c r="A18" s="370" t="s">
        <v>5</v>
      </c>
      <c r="B18" s="371" t="s">
        <v>1001</v>
      </c>
      <c r="C18" s="353"/>
      <c r="D18" s="353"/>
      <c r="E18" s="353"/>
      <c r="F18" s="353"/>
      <c r="G18" s="353"/>
      <c r="H18" s="353"/>
      <c r="I18" s="353"/>
      <c r="J18" s="353"/>
      <c r="K18" s="353"/>
      <c r="L18" s="353"/>
      <c r="M18" s="353"/>
      <c r="N18" s="353"/>
      <c r="O18" s="353"/>
      <c r="P18" s="353"/>
      <c r="Q18" s="353"/>
      <c r="R18" s="353"/>
      <c r="S18" s="353"/>
      <c r="T18" s="353"/>
      <c r="U18" s="353"/>
    </row>
    <row r="19" spans="1:21">
      <c r="A19" s="346" t="s">
        <v>7</v>
      </c>
      <c r="B19" s="188" t="s">
        <v>786</v>
      </c>
      <c r="C19" s="345"/>
      <c r="D19" s="188"/>
      <c r="E19" s="188"/>
      <c r="F19" s="188"/>
      <c r="G19" s="188"/>
      <c r="H19" s="188"/>
      <c r="I19" s="188"/>
      <c r="J19" s="188"/>
      <c r="K19" s="188"/>
      <c r="L19" s="188"/>
      <c r="M19" s="188"/>
      <c r="N19" s="188"/>
      <c r="O19" s="188"/>
      <c r="P19" s="188"/>
      <c r="Q19" s="188"/>
      <c r="R19" s="188"/>
      <c r="S19" s="188"/>
      <c r="T19" s="188"/>
      <c r="U19" s="188"/>
    </row>
    <row r="20" spans="1:21">
      <c r="A20" s="424" t="s">
        <v>9</v>
      </c>
      <c r="B20" s="188" t="s">
        <v>1002</v>
      </c>
      <c r="C20" s="345"/>
      <c r="D20" s="188"/>
      <c r="E20" s="188"/>
      <c r="F20" s="188"/>
      <c r="G20" s="188"/>
      <c r="H20" s="188"/>
      <c r="I20" s="188"/>
      <c r="J20" s="188"/>
      <c r="K20" s="188"/>
      <c r="L20" s="188"/>
      <c r="M20" s="188"/>
      <c r="N20" s="188"/>
      <c r="O20" s="188"/>
      <c r="P20" s="188"/>
      <c r="Q20" s="188"/>
      <c r="R20" s="188"/>
      <c r="S20" s="188"/>
      <c r="T20" s="188"/>
      <c r="U20" s="188"/>
    </row>
    <row r="21" spans="1:21" ht="15.75" customHeight="1">
      <c r="A21" s="346" t="s">
        <v>11</v>
      </c>
      <c r="B21" s="347" t="s">
        <v>796</v>
      </c>
      <c r="C21" s="188"/>
      <c r="D21" s="188"/>
      <c r="E21" s="188"/>
      <c r="F21" s="188"/>
      <c r="G21" s="188"/>
      <c r="H21" s="188"/>
      <c r="I21" s="188"/>
      <c r="J21" s="188"/>
      <c r="K21" s="188"/>
      <c r="L21" s="188"/>
      <c r="M21" s="188"/>
      <c r="N21" s="188"/>
      <c r="O21" s="188"/>
      <c r="P21" s="188"/>
      <c r="Q21" s="188"/>
      <c r="R21" s="188"/>
      <c r="S21" s="188"/>
      <c r="T21" s="188"/>
      <c r="U21" s="188"/>
    </row>
    <row r="22" spans="1:21">
      <c r="A22" s="346" t="s">
        <v>13</v>
      </c>
      <c r="B22" s="188" t="s">
        <v>14</v>
      </c>
      <c r="C22" s="188"/>
      <c r="D22" s="188"/>
      <c r="E22" s="188"/>
      <c r="F22" s="188"/>
      <c r="G22" s="188"/>
      <c r="H22" s="188"/>
      <c r="I22" s="188"/>
      <c r="J22" s="188"/>
      <c r="K22" s="188"/>
      <c r="L22" s="188"/>
      <c r="M22" s="188"/>
      <c r="N22" s="188"/>
      <c r="O22" s="188"/>
      <c r="P22" s="188"/>
      <c r="Q22" s="188"/>
      <c r="R22" s="188"/>
      <c r="S22" s="188"/>
      <c r="T22" s="188"/>
      <c r="U22" s="188"/>
    </row>
    <row r="23" spans="1:21">
      <c r="A23" s="346" t="s">
        <v>15</v>
      </c>
      <c r="B23" s="415">
        <v>0.6</v>
      </c>
      <c r="C23" s="188"/>
      <c r="D23" s="188"/>
      <c r="E23" s="188"/>
      <c r="F23" s="188"/>
      <c r="G23" s="188"/>
      <c r="H23" s="188"/>
      <c r="I23" s="188"/>
      <c r="J23" s="188"/>
      <c r="K23" s="188"/>
      <c r="L23" s="188"/>
      <c r="M23" s="188"/>
      <c r="N23" s="188"/>
      <c r="O23" s="188"/>
      <c r="P23" s="188"/>
      <c r="Q23" s="188"/>
      <c r="R23" s="188"/>
      <c r="S23" s="188"/>
      <c r="T23" s="188"/>
      <c r="U23" s="188"/>
    </row>
    <row r="24" spans="1:21">
      <c r="A24" s="346" t="s">
        <v>16</v>
      </c>
      <c r="B24" s="188" t="s">
        <v>17</v>
      </c>
      <c r="C24" s="188"/>
      <c r="D24" s="188"/>
      <c r="E24" s="188"/>
      <c r="F24" s="188"/>
      <c r="G24" s="188"/>
      <c r="H24" s="188"/>
      <c r="I24" s="188"/>
      <c r="J24" s="188"/>
      <c r="K24" s="188"/>
      <c r="L24" s="188"/>
      <c r="M24" s="188"/>
      <c r="N24" s="188"/>
      <c r="O24" s="188"/>
      <c r="P24" s="188"/>
      <c r="Q24" s="188"/>
      <c r="R24" s="188"/>
      <c r="S24" s="188"/>
      <c r="T24" s="188"/>
      <c r="U24" s="188"/>
    </row>
    <row r="25" spans="1:21">
      <c r="A25" s="346" t="s">
        <v>18</v>
      </c>
      <c r="B25" s="188" t="s">
        <v>609</v>
      </c>
      <c r="C25" s="188"/>
      <c r="D25" s="188"/>
      <c r="E25" s="188"/>
      <c r="F25" s="188"/>
      <c r="G25" s="188"/>
      <c r="H25" s="188"/>
      <c r="I25" s="188"/>
      <c r="J25" s="188"/>
      <c r="K25" s="188"/>
      <c r="L25" s="188"/>
      <c r="M25" s="188"/>
      <c r="N25" s="188"/>
      <c r="O25" s="188"/>
      <c r="P25" s="188"/>
      <c r="Q25" s="188"/>
      <c r="R25" s="188"/>
      <c r="S25" s="188"/>
      <c r="T25" s="188"/>
      <c r="U25" s="188"/>
    </row>
    <row r="26" spans="1:21">
      <c r="A26" s="343" t="s">
        <v>19</v>
      </c>
      <c r="B26" s="188"/>
      <c r="C26" s="188"/>
      <c r="D26" s="188"/>
      <c r="E26" s="188"/>
      <c r="F26" s="188"/>
      <c r="G26" s="188"/>
      <c r="H26" s="188"/>
      <c r="I26" s="188"/>
      <c r="J26" s="188"/>
      <c r="K26" s="188"/>
      <c r="L26" s="188"/>
      <c r="M26" s="188"/>
      <c r="N26" s="188"/>
      <c r="O26" s="188"/>
      <c r="P26" s="188"/>
      <c r="Q26" s="188"/>
      <c r="R26" s="188"/>
      <c r="S26" s="188"/>
      <c r="T26" s="188"/>
      <c r="U26" s="188"/>
    </row>
    <row r="27" spans="1:21">
      <c r="A27" s="344"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c r="O27" s="188"/>
      <c r="P27" s="188"/>
      <c r="Q27" s="188"/>
      <c r="R27" s="188"/>
      <c r="S27" s="188"/>
      <c r="T27" s="415"/>
      <c r="U27" s="188"/>
    </row>
    <row r="28" spans="1:21">
      <c r="A28" s="188" t="s">
        <v>1001</v>
      </c>
      <c r="B28" s="415">
        <v>0.06</v>
      </c>
      <c r="C28" s="188" t="s">
        <v>609</v>
      </c>
      <c r="D28" s="408" t="s">
        <v>2</v>
      </c>
      <c r="E28" s="188" t="s">
        <v>29</v>
      </c>
      <c r="F28" s="188" t="s">
        <v>14</v>
      </c>
      <c r="G28" s="188" t="s">
        <v>30</v>
      </c>
      <c r="H28" s="188">
        <v>1</v>
      </c>
      <c r="I28" s="415">
        <f t="shared" ref="I28:I29" si="4">B28</f>
        <v>0.06</v>
      </c>
      <c r="J28" s="188">
        <v>7.2284161474004766E-2</v>
      </c>
      <c r="K28" s="188" t="s">
        <v>31</v>
      </c>
      <c r="L28" s="188" t="s">
        <v>31</v>
      </c>
      <c r="M28" s="188" t="s">
        <v>31</v>
      </c>
      <c r="N28" s="188"/>
      <c r="O28" s="401" t="s">
        <v>892</v>
      </c>
      <c r="P28" s="414">
        <f>B28*100</f>
        <v>6</v>
      </c>
      <c r="Q28" s="188"/>
      <c r="R28" s="188"/>
      <c r="S28" s="188"/>
      <c r="T28" s="188"/>
      <c r="U28" s="188"/>
    </row>
    <row r="29" spans="1:21">
      <c r="A29" s="188" t="s">
        <v>1003</v>
      </c>
      <c r="B29" s="415">
        <v>0.06</v>
      </c>
      <c r="C29" s="188" t="s">
        <v>609</v>
      </c>
      <c r="D29" s="408" t="s">
        <v>2</v>
      </c>
      <c r="E29" s="188" t="s">
        <v>29</v>
      </c>
      <c r="F29" s="188" t="s">
        <v>14</v>
      </c>
      <c r="G29" s="188" t="s">
        <v>33</v>
      </c>
      <c r="H29" s="188">
        <v>1</v>
      </c>
      <c r="I29" s="415">
        <f t="shared" si="4"/>
        <v>0.06</v>
      </c>
      <c r="J29" s="188">
        <v>7.2284161474004766E-2</v>
      </c>
      <c r="K29" s="188" t="s">
        <v>31</v>
      </c>
      <c r="L29" s="188" t="s">
        <v>31</v>
      </c>
      <c r="M29" s="188" t="s">
        <v>31</v>
      </c>
      <c r="N29" s="188"/>
      <c r="O29" s="188"/>
      <c r="P29" s="188"/>
      <c r="Q29" s="188"/>
      <c r="R29" s="188"/>
      <c r="S29" s="188"/>
      <c r="T29" s="188"/>
      <c r="U29" s="188"/>
    </row>
    <row r="30" spans="1:21">
      <c r="A30" s="346" t="s">
        <v>269</v>
      </c>
      <c r="B30" s="350">
        <f>P30</f>
        <v>0.06</v>
      </c>
      <c r="C30" s="188" t="s">
        <v>39</v>
      </c>
      <c r="D30" s="188" t="s">
        <v>40</v>
      </c>
      <c r="E30" s="188" t="s">
        <v>29</v>
      </c>
      <c r="F30" s="37" t="s">
        <v>35</v>
      </c>
      <c r="G30" s="188" t="s">
        <v>33</v>
      </c>
      <c r="H30" s="188">
        <v>2</v>
      </c>
      <c r="I30" s="188">
        <f t="shared" ref="I30:I31" si="5">LN(B30)</f>
        <v>-2.8134107167600364</v>
      </c>
      <c r="J30" s="188">
        <v>7.2284161474004766E-2</v>
      </c>
      <c r="K30" s="188" t="s">
        <v>31</v>
      </c>
      <c r="L30" s="188" t="s">
        <v>31</v>
      </c>
      <c r="M30" s="188" t="s">
        <v>31</v>
      </c>
      <c r="N30" s="188"/>
      <c r="O30" s="401" t="s">
        <v>248</v>
      </c>
      <c r="P30" s="414">
        <v>0.06</v>
      </c>
      <c r="Q30" s="188"/>
      <c r="R30" s="188"/>
      <c r="S30" s="188"/>
      <c r="T30" s="188"/>
      <c r="U30" s="188"/>
    </row>
    <row r="31" spans="1:21">
      <c r="A31" s="88" t="s">
        <v>310</v>
      </c>
      <c r="B31" s="188">
        <f>R31</f>
        <v>1E-3</v>
      </c>
      <c r="C31" s="415" t="s">
        <v>37</v>
      </c>
      <c r="D31" s="188" t="s">
        <v>40</v>
      </c>
      <c r="E31" s="188" t="s">
        <v>29</v>
      </c>
      <c r="F31" s="188" t="s">
        <v>59</v>
      </c>
      <c r="G31" s="188" t="s">
        <v>33</v>
      </c>
      <c r="H31" s="188">
        <v>2</v>
      </c>
      <c r="I31" s="188">
        <f t="shared" si="5"/>
        <v>-6.9077552789821368</v>
      </c>
      <c r="J31" s="188">
        <v>7.2284161474004766E-2</v>
      </c>
      <c r="K31" s="188" t="s">
        <v>31</v>
      </c>
      <c r="L31" s="188" t="s">
        <v>31</v>
      </c>
      <c r="M31" s="188" t="s">
        <v>31</v>
      </c>
      <c r="N31" s="188"/>
      <c r="O31" s="401" t="s">
        <v>580</v>
      </c>
      <c r="P31" s="414">
        <v>1</v>
      </c>
      <c r="Q31" s="188" t="s">
        <v>241</v>
      </c>
      <c r="R31" s="188">
        <f>P31*0.001</f>
        <v>1E-3</v>
      </c>
      <c r="S31" s="188"/>
      <c r="T31" s="188"/>
      <c r="U31" s="188"/>
    </row>
    <row r="32" spans="1:21">
      <c r="A32" s="112" t="s">
        <v>871</v>
      </c>
      <c r="B32" s="188">
        <f t="shared" ref="B32:B33" si="6">R32</f>
        <v>2E-3</v>
      </c>
      <c r="C32" s="188" t="s">
        <v>37</v>
      </c>
      <c r="D32" s="188" t="s">
        <v>40</v>
      </c>
      <c r="E32" s="188" t="s">
        <v>29</v>
      </c>
      <c r="F32" s="37" t="s">
        <v>35</v>
      </c>
      <c r="G32" s="188" t="s">
        <v>33</v>
      </c>
      <c r="H32" s="188">
        <v>2</v>
      </c>
      <c r="I32" s="188">
        <f>LN(B32)</f>
        <v>-6.2146080984221914</v>
      </c>
      <c r="J32" s="188">
        <v>7.2284161474004766E-2</v>
      </c>
      <c r="K32" s="188" t="s">
        <v>31</v>
      </c>
      <c r="L32" s="188" t="s">
        <v>31</v>
      </c>
      <c r="M32" s="188" t="s">
        <v>31</v>
      </c>
      <c r="N32" s="188"/>
      <c r="O32" s="401" t="s">
        <v>580</v>
      </c>
      <c r="P32" s="414">
        <v>2</v>
      </c>
      <c r="Q32" s="188" t="s">
        <v>241</v>
      </c>
      <c r="R32" s="188">
        <f>P32*0.001</f>
        <v>2E-3</v>
      </c>
      <c r="S32" s="188"/>
      <c r="T32" s="188"/>
      <c r="U32" s="188"/>
    </row>
    <row r="33" spans="1:21">
      <c r="A33" s="346" t="s">
        <v>799</v>
      </c>
      <c r="B33" s="188">
        <f t="shared" si="6"/>
        <v>2.1</v>
      </c>
      <c r="C33" s="188" t="s">
        <v>37</v>
      </c>
      <c r="D33" s="188" t="s">
        <v>40</v>
      </c>
      <c r="E33" s="188" t="s">
        <v>29</v>
      </c>
      <c r="F33" s="37" t="s">
        <v>74</v>
      </c>
      <c r="G33" s="188" t="s">
        <v>33</v>
      </c>
      <c r="H33" s="188">
        <v>2</v>
      </c>
      <c r="I33" s="188">
        <f t="shared" ref="I33:I34" si="7">LN(B33)</f>
        <v>0.74193734472937733</v>
      </c>
      <c r="J33" s="188">
        <v>7.2284161474004766E-2</v>
      </c>
      <c r="K33" s="188" t="s">
        <v>31</v>
      </c>
      <c r="L33" s="188" t="s">
        <v>31</v>
      </c>
      <c r="M33" s="188" t="s">
        <v>31</v>
      </c>
      <c r="N33" s="188"/>
      <c r="O33" s="401" t="s">
        <v>241</v>
      </c>
      <c r="P33" s="414">
        <v>2.1</v>
      </c>
      <c r="Q33" s="188" t="s">
        <v>241</v>
      </c>
      <c r="R33" s="188">
        <f>P33</f>
        <v>2.1</v>
      </c>
      <c r="S33" s="188"/>
      <c r="T33" s="188"/>
      <c r="U33" s="188"/>
    </row>
    <row r="34" spans="1:21">
      <c r="A34" s="88" t="s">
        <v>76</v>
      </c>
      <c r="B34" s="188">
        <f>R34</f>
        <v>2.1000000000000003E-3</v>
      </c>
      <c r="C34" s="188" t="s">
        <v>42</v>
      </c>
      <c r="D34" s="188" t="s">
        <v>40</v>
      </c>
      <c r="E34" s="188" t="s">
        <v>29</v>
      </c>
      <c r="F34" s="37" t="s">
        <v>74</v>
      </c>
      <c r="G34" s="188" t="s">
        <v>33</v>
      </c>
      <c r="H34" s="188">
        <v>2</v>
      </c>
      <c r="I34" s="188">
        <f t="shared" si="7"/>
        <v>-6.1658179342527593</v>
      </c>
      <c r="J34" s="188">
        <v>7.2284161474004766E-2</v>
      </c>
      <c r="K34" s="188" t="s">
        <v>31</v>
      </c>
      <c r="L34" s="188" t="s">
        <v>31</v>
      </c>
      <c r="M34" s="188" t="s">
        <v>31</v>
      </c>
      <c r="N34" s="188"/>
      <c r="O34" s="418" t="s">
        <v>863</v>
      </c>
      <c r="P34" s="419">
        <v>2.1</v>
      </c>
      <c r="Q34" s="188" t="s">
        <v>251</v>
      </c>
      <c r="R34" s="188">
        <f>0.001*P34</f>
        <v>2.1000000000000003E-3</v>
      </c>
      <c r="S34" s="188"/>
      <c r="T34" s="188"/>
      <c r="U34" s="188"/>
    </row>
    <row r="35" spans="1:21" s="70" customFormat="1">
      <c r="A35" s="370" t="s">
        <v>5</v>
      </c>
      <c r="B35" s="371" t="s">
        <v>1003</v>
      </c>
      <c r="C35" s="353"/>
      <c r="D35" s="353"/>
      <c r="E35" s="353"/>
      <c r="F35" s="353"/>
      <c r="G35" s="353"/>
      <c r="H35" s="353"/>
      <c r="I35" s="353"/>
      <c r="J35" s="353"/>
      <c r="K35" s="353"/>
      <c r="L35" s="353"/>
      <c r="M35" s="353"/>
      <c r="N35" s="353"/>
      <c r="O35" s="353"/>
      <c r="P35" s="353"/>
      <c r="Q35" s="353"/>
      <c r="R35" s="353"/>
      <c r="S35" s="353"/>
      <c r="T35" s="353"/>
      <c r="U35" s="353"/>
    </row>
    <row r="36" spans="1:21">
      <c r="A36" s="346" t="s">
        <v>7</v>
      </c>
      <c r="B36" s="188" t="s">
        <v>786</v>
      </c>
      <c r="C36" s="345"/>
      <c r="D36" s="188"/>
      <c r="E36" s="188"/>
      <c r="F36" s="188"/>
      <c r="G36" s="188"/>
      <c r="H36" s="188"/>
      <c r="I36" s="188"/>
      <c r="J36" s="188"/>
      <c r="K36" s="188"/>
      <c r="L36" s="188"/>
      <c r="M36" s="188"/>
      <c r="N36" s="188"/>
      <c r="O36" s="188"/>
      <c r="P36" s="188"/>
      <c r="Q36" s="188"/>
      <c r="R36" s="188"/>
      <c r="S36" s="188"/>
      <c r="T36" s="188"/>
      <c r="U36" s="188"/>
    </row>
    <row r="37" spans="1:21">
      <c r="A37" s="424" t="s">
        <v>9</v>
      </c>
      <c r="B37" s="188" t="s">
        <v>1004</v>
      </c>
      <c r="C37" s="345"/>
      <c r="D37" s="188"/>
      <c r="E37" s="188"/>
      <c r="F37" s="188"/>
      <c r="G37" s="188"/>
      <c r="H37" s="188"/>
      <c r="I37" s="188"/>
      <c r="J37" s="188"/>
      <c r="K37" s="188"/>
      <c r="L37" s="188"/>
      <c r="M37" s="188"/>
      <c r="N37" s="188"/>
      <c r="O37" s="188"/>
      <c r="P37" s="188"/>
      <c r="Q37" s="188"/>
      <c r="R37" s="188"/>
      <c r="S37" s="188"/>
      <c r="T37" s="188"/>
      <c r="U37" s="188"/>
    </row>
    <row r="38" spans="1:21" ht="15.75" customHeight="1">
      <c r="A38" s="346" t="s">
        <v>11</v>
      </c>
      <c r="B38" s="347" t="s">
        <v>796</v>
      </c>
      <c r="C38" s="188"/>
      <c r="D38" s="188"/>
      <c r="E38" s="188"/>
      <c r="F38" s="188"/>
      <c r="G38" s="188"/>
      <c r="H38" s="188"/>
      <c r="I38" s="188"/>
      <c r="J38" s="188"/>
      <c r="K38" s="188"/>
      <c r="L38" s="188"/>
      <c r="M38" s="188"/>
      <c r="N38" s="188"/>
      <c r="O38" s="188"/>
      <c r="P38" s="188"/>
      <c r="Q38" s="188"/>
      <c r="R38" s="188"/>
      <c r="S38" s="188"/>
      <c r="T38" s="188"/>
      <c r="U38" s="188"/>
    </row>
    <row r="39" spans="1:21">
      <c r="A39" s="346" t="s">
        <v>13</v>
      </c>
      <c r="B39" s="188" t="s">
        <v>14</v>
      </c>
      <c r="C39" s="188"/>
      <c r="D39" s="188"/>
      <c r="E39" s="188"/>
      <c r="F39" s="188"/>
      <c r="G39" s="188"/>
      <c r="H39" s="188"/>
      <c r="I39" s="188"/>
      <c r="J39" s="188"/>
      <c r="K39" s="188"/>
      <c r="L39" s="188"/>
      <c r="M39" s="188"/>
      <c r="N39" s="188"/>
      <c r="O39" s="188"/>
      <c r="P39" s="188"/>
      <c r="Q39" s="188"/>
      <c r="R39" s="188"/>
      <c r="S39" s="188"/>
      <c r="T39" s="188"/>
      <c r="U39" s="188"/>
    </row>
    <row r="40" spans="1:21">
      <c r="A40" s="346" t="s">
        <v>15</v>
      </c>
      <c r="B40" s="415">
        <f>B45</f>
        <v>0.06</v>
      </c>
      <c r="C40" s="188"/>
      <c r="D40" s="188"/>
      <c r="E40" s="188"/>
      <c r="F40" s="188"/>
      <c r="G40" s="188"/>
      <c r="H40" s="188"/>
      <c r="I40" s="188"/>
      <c r="J40" s="188"/>
      <c r="K40" s="188"/>
      <c r="L40" s="188"/>
      <c r="M40" s="188"/>
      <c r="N40" s="188"/>
      <c r="O40" s="188"/>
      <c r="P40" s="188"/>
      <c r="Q40" s="188"/>
      <c r="R40" s="188"/>
      <c r="S40" s="188"/>
      <c r="T40" s="188"/>
      <c r="U40" s="188"/>
    </row>
    <row r="41" spans="1:21">
      <c r="A41" s="346" t="s">
        <v>16</v>
      </c>
      <c r="B41" s="188" t="s">
        <v>17</v>
      </c>
      <c r="C41" s="188"/>
      <c r="D41" s="188"/>
      <c r="E41" s="188"/>
      <c r="F41" s="188"/>
      <c r="G41" s="188"/>
      <c r="H41" s="188"/>
      <c r="I41" s="188"/>
      <c r="J41" s="188"/>
      <c r="K41" s="188"/>
      <c r="L41" s="188"/>
      <c r="M41" s="188"/>
      <c r="N41" s="188"/>
      <c r="O41" s="188"/>
      <c r="P41" s="188"/>
      <c r="Q41" s="188"/>
      <c r="R41" s="188"/>
      <c r="S41" s="188"/>
      <c r="T41" s="188"/>
      <c r="U41" s="188"/>
    </row>
    <row r="42" spans="1:21">
      <c r="A42" s="346" t="s">
        <v>18</v>
      </c>
      <c r="B42" s="188" t="s">
        <v>609</v>
      </c>
      <c r="C42" s="188"/>
      <c r="D42" s="188"/>
      <c r="E42" s="188"/>
      <c r="F42" s="188"/>
      <c r="G42" s="188"/>
      <c r="H42" s="188"/>
      <c r="I42" s="188"/>
      <c r="J42" s="188"/>
      <c r="K42" s="188"/>
      <c r="L42" s="188"/>
      <c r="M42" s="188"/>
      <c r="N42" s="188"/>
      <c r="O42" s="188"/>
      <c r="P42" s="188"/>
      <c r="Q42" s="188"/>
      <c r="R42" s="188"/>
      <c r="S42" s="188"/>
      <c r="T42" s="188"/>
      <c r="U42" s="188"/>
    </row>
    <row r="43" spans="1:21">
      <c r="A43" s="343" t="s">
        <v>19</v>
      </c>
      <c r="B43" s="188"/>
      <c r="C43" s="188"/>
      <c r="D43" s="188"/>
      <c r="E43" s="188"/>
      <c r="F43" s="188"/>
      <c r="G43" s="188"/>
      <c r="H43" s="188"/>
      <c r="I43" s="188"/>
      <c r="J43" s="188"/>
      <c r="K43" s="188"/>
      <c r="L43" s="188"/>
      <c r="M43" s="188"/>
      <c r="N43" s="188"/>
      <c r="O43" s="188"/>
      <c r="P43" s="188"/>
      <c r="Q43" s="188"/>
      <c r="R43" s="188"/>
      <c r="S43" s="188"/>
      <c r="T43" s="188"/>
      <c r="U43" s="188"/>
    </row>
    <row r="44" spans="1:21">
      <c r="A44" s="344" t="s">
        <v>20</v>
      </c>
      <c r="B44" s="344" t="s">
        <v>21</v>
      </c>
      <c r="C44" s="344" t="s">
        <v>18</v>
      </c>
      <c r="D44" s="344" t="s">
        <v>22</v>
      </c>
      <c r="E44" s="344" t="s">
        <v>7</v>
      </c>
      <c r="F44" s="344" t="s">
        <v>13</v>
      </c>
      <c r="G44" s="344" t="s">
        <v>16</v>
      </c>
      <c r="H44" s="344" t="s">
        <v>23</v>
      </c>
      <c r="I44" s="344" t="s">
        <v>24</v>
      </c>
      <c r="J44" s="344" t="s">
        <v>25</v>
      </c>
      <c r="K44" s="344" t="s">
        <v>26</v>
      </c>
      <c r="L44" s="344" t="s">
        <v>27</v>
      </c>
      <c r="M44" s="344" t="s">
        <v>28</v>
      </c>
      <c r="N44" s="344" t="s">
        <v>11</v>
      </c>
      <c r="O44" s="188"/>
      <c r="P44" s="188"/>
      <c r="Q44" s="188"/>
      <c r="R44" s="188"/>
      <c r="S44" s="188"/>
      <c r="T44" s="415"/>
      <c r="U44" s="188"/>
    </row>
    <row r="45" spans="1:21">
      <c r="A45" s="188" t="s">
        <v>1003</v>
      </c>
      <c r="B45" s="415">
        <f>B29</f>
        <v>0.06</v>
      </c>
      <c r="C45" s="188" t="s">
        <v>609</v>
      </c>
      <c r="D45" s="408" t="s">
        <v>2</v>
      </c>
      <c r="E45" s="188" t="s">
        <v>29</v>
      </c>
      <c r="F45" s="188" t="s">
        <v>14</v>
      </c>
      <c r="G45" s="188" t="s">
        <v>30</v>
      </c>
      <c r="H45" s="188">
        <v>1</v>
      </c>
      <c r="I45" s="415">
        <f t="shared" ref="I45:I47" si="8">B45</f>
        <v>0.06</v>
      </c>
      <c r="J45" s="188" t="s">
        <v>31</v>
      </c>
      <c r="K45" s="188" t="s">
        <v>31</v>
      </c>
      <c r="L45" s="188" t="s">
        <v>31</v>
      </c>
      <c r="M45" s="188" t="s">
        <v>31</v>
      </c>
      <c r="N45" s="188"/>
      <c r="O45" s="188"/>
      <c r="P45" s="188"/>
      <c r="Q45" s="188" t="s">
        <v>1005</v>
      </c>
      <c r="R45" s="188"/>
      <c r="S45" s="188"/>
      <c r="T45" s="188"/>
      <c r="U45" s="188"/>
    </row>
    <row r="46" spans="1:21">
      <c r="A46" s="88" t="s">
        <v>897</v>
      </c>
      <c r="B46" s="188">
        <v>0.33</v>
      </c>
      <c r="C46" s="188" t="s">
        <v>37</v>
      </c>
      <c r="D46" s="188" t="s">
        <v>40</v>
      </c>
      <c r="E46" s="188" t="s">
        <v>29</v>
      </c>
      <c r="F46" s="188" t="s">
        <v>82</v>
      </c>
      <c r="G46" s="188" t="s">
        <v>33</v>
      </c>
      <c r="H46" s="188">
        <v>1</v>
      </c>
      <c r="I46" s="415">
        <f t="shared" si="8"/>
        <v>0.33</v>
      </c>
      <c r="J46" s="188" t="s">
        <v>31</v>
      </c>
      <c r="K46" s="188" t="s">
        <v>31</v>
      </c>
      <c r="L46" s="188" t="s">
        <v>31</v>
      </c>
      <c r="M46" s="188" t="s">
        <v>31</v>
      </c>
      <c r="N46" s="188"/>
      <c r="O46" s="188"/>
      <c r="P46" s="188"/>
      <c r="Q46" s="188"/>
      <c r="R46" s="188"/>
      <c r="S46" s="188"/>
      <c r="T46" s="188"/>
      <c r="U46" s="188"/>
    </row>
    <row r="47" spans="1:21">
      <c r="A47" s="88" t="s">
        <v>898</v>
      </c>
      <c r="B47" s="188">
        <v>0.33</v>
      </c>
      <c r="C47" s="188" t="s">
        <v>37</v>
      </c>
      <c r="D47" s="188" t="s">
        <v>40</v>
      </c>
      <c r="E47" s="188" t="s">
        <v>29</v>
      </c>
      <c r="F47" s="188" t="s">
        <v>59</v>
      </c>
      <c r="G47" s="188" t="s">
        <v>33</v>
      </c>
      <c r="H47" s="188">
        <v>1</v>
      </c>
      <c r="I47" s="415">
        <f t="shared" si="8"/>
        <v>0.33</v>
      </c>
      <c r="J47" s="188" t="s">
        <v>31</v>
      </c>
      <c r="K47" s="188" t="s">
        <v>31</v>
      </c>
      <c r="L47" s="188" t="s">
        <v>31</v>
      </c>
      <c r="M47" s="188" t="s">
        <v>31</v>
      </c>
      <c r="N47" s="188"/>
      <c r="O47" s="188"/>
      <c r="P47" s="188"/>
      <c r="Q47" s="188"/>
      <c r="R47" s="188"/>
      <c r="S47" s="188"/>
      <c r="T47" s="188"/>
      <c r="U47" s="188"/>
    </row>
  </sheetData>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D864-CCAD-45A3-B12A-00F579BE9CF9}">
  <sheetPr>
    <tabColor theme="8"/>
  </sheetPr>
  <dimension ref="A1:Y57"/>
  <sheetViews>
    <sheetView zoomScale="70" zoomScaleNormal="70" workbookViewId="0">
      <selection activeCell="A12" sqref="A12"/>
    </sheetView>
  </sheetViews>
  <sheetFormatPr defaultColWidth="9.140625" defaultRowHeight="12.95"/>
  <cols>
    <col min="1" max="1" width="74" style="188" customWidth="1"/>
    <col min="2" max="4" width="9.140625" style="188"/>
    <col min="5" max="5" width="34.28515625" style="188" customWidth="1"/>
    <col min="6" max="6" width="16.7109375" style="188" customWidth="1"/>
    <col min="7" max="7" width="9.140625" style="188"/>
    <col min="8" max="8" width="14.28515625" style="188" customWidth="1"/>
    <col min="9" max="16384" width="9.140625" style="188"/>
  </cols>
  <sheetData>
    <row r="1" spans="1:21">
      <c r="A1" s="188" t="s">
        <v>0</v>
      </c>
      <c r="B1" s="188">
        <v>14</v>
      </c>
      <c r="R1" s="401"/>
      <c r="S1" s="414"/>
    </row>
    <row r="2" spans="1:21" s="353" customFormat="1">
      <c r="A2" s="370" t="s">
        <v>5</v>
      </c>
      <c r="B2" s="371" t="s">
        <v>981</v>
      </c>
      <c r="C2" s="371"/>
      <c r="R2" s="401"/>
      <c r="S2" s="414"/>
    </row>
    <row r="3" spans="1:21">
      <c r="A3" s="346" t="s">
        <v>7</v>
      </c>
      <c r="B3" s="188" t="s">
        <v>786</v>
      </c>
      <c r="D3" s="345"/>
      <c r="R3" s="401"/>
      <c r="S3" s="414"/>
    </row>
    <row r="4" spans="1:21">
      <c r="A4" s="424" t="s">
        <v>9</v>
      </c>
      <c r="B4" s="188" t="s">
        <v>1006</v>
      </c>
      <c r="D4" s="345"/>
    </row>
    <row r="5" spans="1:21" ht="15.75" customHeight="1">
      <c r="A5" s="346" t="s">
        <v>11</v>
      </c>
      <c r="B5" s="347" t="s">
        <v>796</v>
      </c>
      <c r="C5" s="347"/>
    </row>
    <row r="6" spans="1:21">
      <c r="A6" s="346" t="s">
        <v>13</v>
      </c>
      <c r="B6" s="188" t="s">
        <v>14</v>
      </c>
    </row>
    <row r="7" spans="1:21">
      <c r="A7" s="346" t="s">
        <v>15</v>
      </c>
      <c r="B7" s="358">
        <f>B12</f>
        <v>3.15</v>
      </c>
      <c r="C7" s="358"/>
    </row>
    <row r="8" spans="1:21">
      <c r="A8" s="346" t="s">
        <v>16</v>
      </c>
      <c r="B8" s="188" t="s">
        <v>17</v>
      </c>
    </row>
    <row r="9" spans="1:21">
      <c r="A9" s="346" t="s">
        <v>18</v>
      </c>
      <c r="B9" s="188" t="str">
        <f>D12</f>
        <v>kilogram</v>
      </c>
    </row>
    <row r="10" spans="1:21">
      <c r="A10" s="343" t="s">
        <v>19</v>
      </c>
    </row>
    <row r="11" spans="1:21">
      <c r="A11" s="344" t="s">
        <v>20</v>
      </c>
      <c r="B11" s="344" t="s">
        <v>21</v>
      </c>
      <c r="C11" s="382" t="s">
        <v>217</v>
      </c>
      <c r="D11" s="344" t="s">
        <v>18</v>
      </c>
      <c r="E11" s="344" t="s">
        <v>22</v>
      </c>
      <c r="F11" s="344" t="s">
        <v>7</v>
      </c>
      <c r="G11" s="344" t="s">
        <v>13</v>
      </c>
      <c r="H11" s="344" t="s">
        <v>16</v>
      </c>
      <c r="I11" s="344" t="s">
        <v>23</v>
      </c>
      <c r="J11" s="344" t="s">
        <v>24</v>
      </c>
      <c r="K11" s="344" t="s">
        <v>25</v>
      </c>
      <c r="L11" s="344" t="s">
        <v>26</v>
      </c>
      <c r="M11" s="344" t="s">
        <v>27</v>
      </c>
      <c r="N11" s="344" t="s">
        <v>28</v>
      </c>
      <c r="O11" s="344" t="s">
        <v>11</v>
      </c>
      <c r="U11" s="415"/>
    </row>
    <row r="12" spans="1:21">
      <c r="A12" s="188" t="s">
        <v>981</v>
      </c>
      <c r="B12" s="188">
        <f>B30</f>
        <v>3.15</v>
      </c>
      <c r="D12" s="188" t="s">
        <v>37</v>
      </c>
      <c r="E12" s="408" t="s">
        <v>2</v>
      </c>
      <c r="F12" s="188" t="s">
        <v>29</v>
      </c>
      <c r="G12" s="188" t="s">
        <v>14</v>
      </c>
      <c r="H12" s="188" t="s">
        <v>30</v>
      </c>
      <c r="I12" s="188">
        <v>1</v>
      </c>
      <c r="J12" s="415">
        <f>B12</f>
        <v>3.15</v>
      </c>
      <c r="K12" s="188" t="s">
        <v>31</v>
      </c>
      <c r="L12" s="188" t="s">
        <v>31</v>
      </c>
      <c r="M12" s="188" t="s">
        <v>31</v>
      </c>
      <c r="N12" s="188" t="s">
        <v>31</v>
      </c>
      <c r="P12" s="192"/>
      <c r="Q12" s="421"/>
    </row>
    <row r="13" spans="1:21">
      <c r="A13" s="188" t="s">
        <v>1007</v>
      </c>
      <c r="B13" s="188">
        <v>1</v>
      </c>
      <c r="D13" s="188" t="s">
        <v>18</v>
      </c>
      <c r="E13" s="408" t="s">
        <v>2</v>
      </c>
      <c r="F13" s="188" t="s">
        <v>29</v>
      </c>
      <c r="G13" s="188" t="s">
        <v>14</v>
      </c>
      <c r="H13" s="188" t="s">
        <v>33</v>
      </c>
      <c r="I13" s="188">
        <v>1</v>
      </c>
      <c r="J13" s="415">
        <f>B13</f>
        <v>1</v>
      </c>
      <c r="K13" s="188" t="s">
        <v>31</v>
      </c>
      <c r="L13" s="188" t="s">
        <v>31</v>
      </c>
      <c r="M13" s="188" t="s">
        <v>31</v>
      </c>
      <c r="N13" s="188" t="s">
        <v>31</v>
      </c>
    </row>
    <row r="14" spans="1:21">
      <c r="A14" s="346" t="s">
        <v>269</v>
      </c>
      <c r="B14" s="350">
        <f>Q14</f>
        <v>0.25</v>
      </c>
      <c r="C14" s="350"/>
      <c r="D14" s="188" t="s">
        <v>39</v>
      </c>
      <c r="E14" s="188" t="s">
        <v>40</v>
      </c>
      <c r="F14" s="188" t="s">
        <v>29</v>
      </c>
      <c r="G14" s="37" t="s">
        <v>35</v>
      </c>
      <c r="H14" s="188" t="s">
        <v>33</v>
      </c>
      <c r="I14" s="188">
        <v>2</v>
      </c>
      <c r="J14" s="188">
        <f t="shared" ref="J14:J18" si="0">LN(B14)</f>
        <v>-1.3862943611198906</v>
      </c>
      <c r="K14" s="464">
        <v>9.6046863561492793E-2</v>
      </c>
      <c r="L14" s="188" t="s">
        <v>31</v>
      </c>
      <c r="M14" s="188" t="s">
        <v>31</v>
      </c>
      <c r="N14" s="188" t="s">
        <v>31</v>
      </c>
      <c r="P14" s="401" t="s">
        <v>248</v>
      </c>
      <c r="Q14" s="414">
        <v>0.25</v>
      </c>
    </row>
    <row r="15" spans="1:21">
      <c r="A15" s="346" t="s">
        <v>269</v>
      </c>
      <c r="B15" s="350">
        <f>Q15</f>
        <v>0.5</v>
      </c>
      <c r="C15" s="350"/>
      <c r="D15" s="188" t="s">
        <v>39</v>
      </c>
      <c r="E15" s="188" t="s">
        <v>40</v>
      </c>
      <c r="F15" s="188" t="s">
        <v>29</v>
      </c>
      <c r="G15" s="37" t="s">
        <v>59</v>
      </c>
      <c r="H15" s="188" t="s">
        <v>33</v>
      </c>
      <c r="I15" s="188">
        <v>2</v>
      </c>
      <c r="J15" s="188">
        <f t="shared" si="0"/>
        <v>-0.69314718055994529</v>
      </c>
      <c r="K15" s="464">
        <v>9.6046863561492793E-2</v>
      </c>
      <c r="L15" s="188" t="s">
        <v>31</v>
      </c>
      <c r="M15" s="188" t="s">
        <v>31</v>
      </c>
      <c r="N15" s="188" t="s">
        <v>31</v>
      </c>
      <c r="P15" s="401" t="s">
        <v>248</v>
      </c>
      <c r="Q15" s="414">
        <v>0.5</v>
      </c>
    </row>
    <row r="16" spans="1:21">
      <c r="A16" s="88" t="s">
        <v>901</v>
      </c>
      <c r="B16" s="188">
        <f>S16</f>
        <v>6.5000000000000002E-2</v>
      </c>
      <c r="D16" s="188" t="s">
        <v>37</v>
      </c>
      <c r="E16" s="188" t="s">
        <v>40</v>
      </c>
      <c r="F16" s="188" t="s">
        <v>29</v>
      </c>
      <c r="G16" s="188" t="s">
        <v>35</v>
      </c>
      <c r="H16" s="188" t="s">
        <v>33</v>
      </c>
      <c r="I16" s="188">
        <v>2</v>
      </c>
      <c r="J16" s="188">
        <f t="shared" si="0"/>
        <v>-2.7333680090865</v>
      </c>
      <c r="K16" s="464">
        <v>9.6046863561492793E-2</v>
      </c>
      <c r="L16" s="188" t="s">
        <v>31</v>
      </c>
      <c r="M16" s="188" t="s">
        <v>31</v>
      </c>
      <c r="N16" s="188" t="s">
        <v>31</v>
      </c>
      <c r="P16" s="401" t="s">
        <v>580</v>
      </c>
      <c r="Q16" s="414">
        <v>65</v>
      </c>
      <c r="R16" s="401" t="s">
        <v>241</v>
      </c>
      <c r="S16" s="414">
        <f>0.001*Q16</f>
        <v>6.5000000000000002E-2</v>
      </c>
    </row>
    <row r="17" spans="1:21">
      <c r="A17" s="88" t="s">
        <v>902</v>
      </c>
      <c r="B17" s="188">
        <f>Q17</f>
        <v>1.2</v>
      </c>
      <c r="D17" s="188" t="s">
        <v>37</v>
      </c>
      <c r="E17" s="188" t="s">
        <v>40</v>
      </c>
      <c r="F17" s="188" t="s">
        <v>29</v>
      </c>
      <c r="G17" s="37" t="s">
        <v>74</v>
      </c>
      <c r="H17" s="188" t="s">
        <v>33</v>
      </c>
      <c r="I17" s="188">
        <v>2</v>
      </c>
      <c r="J17" s="188">
        <f t="shared" si="0"/>
        <v>0.18232155679395459</v>
      </c>
      <c r="K17" s="464">
        <v>9.6046863561492793E-2</v>
      </c>
      <c r="L17" s="188" t="s">
        <v>31</v>
      </c>
      <c r="M17" s="188" t="s">
        <v>31</v>
      </c>
      <c r="N17" s="188" t="s">
        <v>31</v>
      </c>
      <c r="P17" s="401" t="s">
        <v>241</v>
      </c>
      <c r="Q17" s="414">
        <v>1.2</v>
      </c>
    </row>
    <row r="18" spans="1:21">
      <c r="A18" s="88" t="s">
        <v>738</v>
      </c>
      <c r="B18" s="188">
        <f>S18</f>
        <v>6.5000000000000002E-2</v>
      </c>
      <c r="D18" s="188" t="s">
        <v>37</v>
      </c>
      <c r="E18" s="188" t="s">
        <v>40</v>
      </c>
      <c r="F18" s="188" t="s">
        <v>29</v>
      </c>
      <c r="G18" s="37" t="s">
        <v>74</v>
      </c>
      <c r="H18" s="188" t="s">
        <v>33</v>
      </c>
      <c r="I18" s="188">
        <v>2</v>
      </c>
      <c r="J18" s="188">
        <f t="shared" si="0"/>
        <v>-2.7333680090865</v>
      </c>
      <c r="K18" s="464">
        <v>9.6046863561492793E-2</v>
      </c>
      <c r="L18" s="188" t="s">
        <v>31</v>
      </c>
      <c r="M18" s="188" t="s">
        <v>31</v>
      </c>
      <c r="N18" s="188" t="s">
        <v>31</v>
      </c>
      <c r="P18" s="401" t="s">
        <v>580</v>
      </c>
      <c r="Q18" s="414">
        <v>65</v>
      </c>
      <c r="R18" s="401" t="s">
        <v>241</v>
      </c>
      <c r="S18" s="414">
        <f>0.001*Q18</f>
        <v>6.5000000000000002E-2</v>
      </c>
    </row>
    <row r="19" spans="1:21" s="353" customFormat="1">
      <c r="A19" s="370" t="s">
        <v>5</v>
      </c>
      <c r="B19" s="371" t="str">
        <f>A29</f>
        <v>production of machined casing, mass scaled activities, isolating DCDC converter, PEMFC-bat, Long-Term</v>
      </c>
      <c r="C19" s="371"/>
    </row>
    <row r="20" spans="1:21">
      <c r="A20" s="346" t="s">
        <v>7</v>
      </c>
      <c r="B20" s="188" t="s">
        <v>786</v>
      </c>
      <c r="D20" s="345"/>
    </row>
    <row r="21" spans="1:21">
      <c r="A21" s="424" t="s">
        <v>9</v>
      </c>
      <c r="B21" s="188" t="s">
        <v>1008</v>
      </c>
      <c r="D21" s="345"/>
    </row>
    <row r="22" spans="1:21" ht="15.75" customHeight="1">
      <c r="A22" s="346" t="s">
        <v>11</v>
      </c>
      <c r="B22" s="347" t="s">
        <v>796</v>
      </c>
      <c r="C22" s="347"/>
    </row>
    <row r="23" spans="1:21">
      <c r="A23" s="346" t="s">
        <v>13</v>
      </c>
      <c r="B23" s="188" t="s">
        <v>14</v>
      </c>
    </row>
    <row r="24" spans="1:21">
      <c r="A24" s="346" t="s">
        <v>15</v>
      </c>
      <c r="B24" s="358">
        <v>1</v>
      </c>
      <c r="C24" s="358"/>
    </row>
    <row r="25" spans="1:21">
      <c r="A25" s="346" t="s">
        <v>16</v>
      </c>
      <c r="B25" s="188" t="s">
        <v>17</v>
      </c>
    </row>
    <row r="26" spans="1:21">
      <c r="A26" s="346" t="s">
        <v>18</v>
      </c>
      <c r="B26" s="188" t="s">
        <v>18</v>
      </c>
    </row>
    <row r="27" spans="1:21">
      <c r="A27" s="343" t="s">
        <v>19</v>
      </c>
    </row>
    <row r="28" spans="1:21">
      <c r="A28" s="344" t="s">
        <v>20</v>
      </c>
      <c r="B28" s="344" t="s">
        <v>21</v>
      </c>
      <c r="C28" s="382" t="s">
        <v>217</v>
      </c>
      <c r="D28" s="344" t="s">
        <v>18</v>
      </c>
      <c r="E28" s="344" t="s">
        <v>22</v>
      </c>
      <c r="F28" s="344" t="s">
        <v>7</v>
      </c>
      <c r="G28" s="344" t="s">
        <v>13</v>
      </c>
      <c r="H28" s="344" t="s">
        <v>16</v>
      </c>
      <c r="I28" s="344" t="s">
        <v>23</v>
      </c>
      <c r="J28" s="344" t="s">
        <v>24</v>
      </c>
      <c r="K28" s="344" t="s">
        <v>25</v>
      </c>
      <c r="L28" s="344" t="s">
        <v>26</v>
      </c>
      <c r="M28" s="344" t="s">
        <v>27</v>
      </c>
      <c r="N28" s="344" t="s">
        <v>28</v>
      </c>
      <c r="O28" s="344" t="s">
        <v>11</v>
      </c>
      <c r="U28" s="415"/>
    </row>
    <row r="29" spans="1:21">
      <c r="A29" s="188" t="s">
        <v>1007</v>
      </c>
      <c r="B29" s="188">
        <v>1</v>
      </c>
      <c r="D29" s="188" t="s">
        <v>18</v>
      </c>
      <c r="E29" s="408" t="s">
        <v>2</v>
      </c>
      <c r="F29" s="188" t="s">
        <v>29</v>
      </c>
      <c r="G29" s="188" t="s">
        <v>14</v>
      </c>
      <c r="H29" s="188" t="s">
        <v>30</v>
      </c>
      <c r="I29" s="188">
        <v>1</v>
      </c>
      <c r="J29" s="415">
        <f>B29</f>
        <v>1</v>
      </c>
      <c r="K29" s="188" t="s">
        <v>31</v>
      </c>
      <c r="L29" s="188" t="s">
        <v>31</v>
      </c>
      <c r="M29" s="188" t="s">
        <v>31</v>
      </c>
      <c r="N29" s="188" t="s">
        <v>31</v>
      </c>
    </row>
    <row r="30" spans="1:21">
      <c r="A30" s="188" t="s">
        <v>1009</v>
      </c>
      <c r="B30" s="188">
        <f>Q30</f>
        <v>3.15</v>
      </c>
      <c r="D30" s="188" t="s">
        <v>37</v>
      </c>
      <c r="E30" s="408" t="s">
        <v>2</v>
      </c>
      <c r="F30" s="188" t="s">
        <v>29</v>
      </c>
      <c r="G30" s="188" t="s">
        <v>14</v>
      </c>
      <c r="H30" s="188" t="s">
        <v>33</v>
      </c>
      <c r="I30" s="188">
        <v>2</v>
      </c>
      <c r="J30" s="188">
        <f>LN(B30)</f>
        <v>1.1474024528375417</v>
      </c>
      <c r="K30" s="188">
        <v>0.10307764064044142</v>
      </c>
      <c r="L30" s="188" t="s">
        <v>31</v>
      </c>
      <c r="M30" s="188" t="s">
        <v>31</v>
      </c>
      <c r="N30" s="188" t="s">
        <v>31</v>
      </c>
      <c r="Q30" s="462">
        <v>3.15</v>
      </c>
    </row>
    <row r="31" spans="1:21">
      <c r="A31" s="346" t="s">
        <v>269</v>
      </c>
      <c r="B31" s="350">
        <f>Q31</f>
        <v>0.18</v>
      </c>
      <c r="C31" s="350"/>
      <c r="D31" s="188" t="s">
        <v>39</v>
      </c>
      <c r="E31" s="188" t="s">
        <v>40</v>
      </c>
      <c r="F31" s="188" t="s">
        <v>29</v>
      </c>
      <c r="G31" s="37" t="s">
        <v>59</v>
      </c>
      <c r="H31" s="188" t="s">
        <v>33</v>
      </c>
      <c r="I31" s="188">
        <v>2</v>
      </c>
      <c r="J31" s="188">
        <f t="shared" ref="J31:J37" si="1">LN(B31)</f>
        <v>-1.7147984280919266</v>
      </c>
      <c r="K31" s="188">
        <v>9.6046863561492793E-2</v>
      </c>
      <c r="L31" s="188" t="s">
        <v>31</v>
      </c>
      <c r="M31" s="188" t="s">
        <v>31</v>
      </c>
      <c r="N31" s="188" t="s">
        <v>31</v>
      </c>
      <c r="P31" s="401" t="s">
        <v>248</v>
      </c>
      <c r="Q31" s="414">
        <v>0.18</v>
      </c>
    </row>
    <row r="32" spans="1:21">
      <c r="A32" s="88" t="s">
        <v>901</v>
      </c>
      <c r="B32" s="188">
        <f>S32</f>
        <v>4.2000000000000003E-2</v>
      </c>
      <c r="D32" s="188" t="s">
        <v>37</v>
      </c>
      <c r="E32" s="188" t="s">
        <v>40</v>
      </c>
      <c r="F32" s="188" t="s">
        <v>29</v>
      </c>
      <c r="G32" s="188" t="s">
        <v>35</v>
      </c>
      <c r="H32" s="188" t="s">
        <v>33</v>
      </c>
      <c r="I32" s="188">
        <v>2</v>
      </c>
      <c r="J32" s="188">
        <f t="shared" si="1"/>
        <v>-3.1700856606987688</v>
      </c>
      <c r="K32" s="188">
        <v>9.6046863561492793E-2</v>
      </c>
      <c r="L32" s="188" t="s">
        <v>31</v>
      </c>
      <c r="M32" s="188" t="s">
        <v>31</v>
      </c>
      <c r="N32" s="188" t="s">
        <v>31</v>
      </c>
      <c r="P32" s="401" t="s">
        <v>580</v>
      </c>
      <c r="Q32" s="414">
        <v>42</v>
      </c>
      <c r="R32" s="401" t="s">
        <v>241</v>
      </c>
      <c r="S32" s="414">
        <f>0.001*Q32</f>
        <v>4.2000000000000003E-2</v>
      </c>
    </row>
    <row r="33" spans="1:21">
      <c r="A33" s="88" t="s">
        <v>902</v>
      </c>
      <c r="B33" s="188">
        <f>Q33</f>
        <v>0.78</v>
      </c>
      <c r="D33" s="188" t="s">
        <v>37</v>
      </c>
      <c r="E33" s="188" t="s">
        <v>40</v>
      </c>
      <c r="F33" s="188" t="s">
        <v>29</v>
      </c>
      <c r="G33" s="37" t="s">
        <v>74</v>
      </c>
      <c r="H33" s="188" t="s">
        <v>33</v>
      </c>
      <c r="I33" s="188">
        <v>2</v>
      </c>
      <c r="J33" s="188">
        <f t="shared" si="1"/>
        <v>-0.24846135929849961</v>
      </c>
      <c r="K33" s="188">
        <v>9.6046863561492793E-2</v>
      </c>
      <c r="L33" s="188" t="s">
        <v>31</v>
      </c>
      <c r="M33" s="188" t="s">
        <v>31</v>
      </c>
      <c r="N33" s="188" t="s">
        <v>31</v>
      </c>
      <c r="P33" s="401" t="s">
        <v>241</v>
      </c>
      <c r="Q33" s="414">
        <v>0.78</v>
      </c>
    </row>
    <row r="34" spans="1:21">
      <c r="A34" s="438" t="s">
        <v>265</v>
      </c>
      <c r="B34" s="188">
        <v>0.159</v>
      </c>
      <c r="C34" s="192" t="s">
        <v>266</v>
      </c>
      <c r="D34" s="188" t="s">
        <v>37</v>
      </c>
      <c r="E34" s="188" t="s">
        <v>40</v>
      </c>
      <c r="F34" s="188" t="s">
        <v>29</v>
      </c>
      <c r="G34" s="37" t="s">
        <v>35</v>
      </c>
      <c r="H34" s="188" t="s">
        <v>33</v>
      </c>
      <c r="I34" s="188">
        <v>2</v>
      </c>
      <c r="J34" s="188">
        <f t="shared" si="1"/>
        <v>-1.8388510767619055</v>
      </c>
      <c r="K34" s="188">
        <v>9.6046863561492793E-2</v>
      </c>
      <c r="L34" s="188" t="s">
        <v>31</v>
      </c>
      <c r="M34" s="188" t="s">
        <v>31</v>
      </c>
      <c r="N34" s="188" t="s">
        <v>31</v>
      </c>
      <c r="P34" s="401"/>
      <c r="Q34" s="414"/>
    </row>
    <row r="35" spans="1:21">
      <c r="A35" s="192" t="s">
        <v>263</v>
      </c>
      <c r="B35" s="188">
        <f>S35</f>
        <v>0.159</v>
      </c>
      <c r="D35" s="188" t="s">
        <v>37</v>
      </c>
      <c r="E35" s="188" t="s">
        <v>40</v>
      </c>
      <c r="F35" s="188" t="s">
        <v>29</v>
      </c>
      <c r="G35" s="188" t="s">
        <v>35</v>
      </c>
      <c r="H35" s="188" t="s">
        <v>33</v>
      </c>
      <c r="I35" s="188">
        <v>2</v>
      </c>
      <c r="J35" s="188">
        <f t="shared" si="1"/>
        <v>-1.8388510767619055</v>
      </c>
      <c r="K35" s="188">
        <v>9.6046863561492793E-2</v>
      </c>
      <c r="L35" s="188" t="s">
        <v>31</v>
      </c>
      <c r="M35" s="188" t="s">
        <v>31</v>
      </c>
      <c r="N35" s="188" t="s">
        <v>31</v>
      </c>
      <c r="P35" s="418" t="s">
        <v>580</v>
      </c>
      <c r="Q35" s="419">
        <v>159</v>
      </c>
      <c r="R35" s="401" t="s">
        <v>241</v>
      </c>
      <c r="S35" s="414">
        <f>0.001*Q35</f>
        <v>0.159</v>
      </c>
    </row>
    <row r="36" spans="1:21">
      <c r="A36" s="88" t="s">
        <v>905</v>
      </c>
      <c r="B36" s="188">
        <f t="shared" ref="B36" si="2">S36</f>
        <v>0.159</v>
      </c>
      <c r="D36" s="188" t="s">
        <v>37</v>
      </c>
      <c r="E36" s="188" t="s">
        <v>40</v>
      </c>
      <c r="F36" s="188" t="s">
        <v>29</v>
      </c>
      <c r="G36" s="188" t="s">
        <v>59</v>
      </c>
      <c r="H36" s="188" t="s">
        <v>136</v>
      </c>
      <c r="I36" s="188">
        <v>2</v>
      </c>
      <c r="J36" s="188">
        <f t="shared" si="1"/>
        <v>-1.8388510767619055</v>
      </c>
      <c r="K36" s="188">
        <v>9.6046863561492793E-2</v>
      </c>
      <c r="L36" s="188" t="s">
        <v>31</v>
      </c>
      <c r="M36" s="188" t="s">
        <v>31</v>
      </c>
      <c r="N36" s="188" t="s">
        <v>31</v>
      </c>
      <c r="P36" s="418" t="s">
        <v>580</v>
      </c>
      <c r="Q36" s="419">
        <v>159</v>
      </c>
      <c r="R36" s="401" t="s">
        <v>241</v>
      </c>
      <c r="S36" s="414">
        <f t="shared" ref="S36:S37" si="3">0.001*Q36</f>
        <v>0.159</v>
      </c>
    </row>
    <row r="37" spans="1:21">
      <c r="A37" s="88" t="s">
        <v>738</v>
      </c>
      <c r="B37" s="188">
        <f>S37</f>
        <v>4.2000000000000003E-2</v>
      </c>
      <c r="D37" s="188" t="s">
        <v>37</v>
      </c>
      <c r="E37" s="188" t="s">
        <v>40</v>
      </c>
      <c r="F37" s="188" t="s">
        <v>29</v>
      </c>
      <c r="G37" s="37" t="s">
        <v>74</v>
      </c>
      <c r="H37" s="188" t="s">
        <v>33</v>
      </c>
      <c r="I37" s="188">
        <v>2</v>
      </c>
      <c r="J37" s="188">
        <f t="shared" si="1"/>
        <v>-3.1700856606987688</v>
      </c>
      <c r="K37" s="188">
        <v>9.6046863561492793E-2</v>
      </c>
      <c r="L37" s="188" t="s">
        <v>31</v>
      </c>
      <c r="M37" s="188" t="s">
        <v>31</v>
      </c>
      <c r="N37" s="188" t="s">
        <v>31</v>
      </c>
      <c r="P37" s="418" t="s">
        <v>580</v>
      </c>
      <c r="Q37" s="419">
        <v>42</v>
      </c>
      <c r="R37" s="401" t="s">
        <v>241</v>
      </c>
      <c r="S37" s="414">
        <f t="shared" si="3"/>
        <v>4.2000000000000003E-2</v>
      </c>
    </row>
    <row r="38" spans="1:21" s="353" customFormat="1">
      <c r="A38" s="370" t="s">
        <v>5</v>
      </c>
      <c r="B38" s="371" t="s">
        <v>1009</v>
      </c>
      <c r="C38" s="371"/>
    </row>
    <row r="39" spans="1:21">
      <c r="A39" s="346" t="s">
        <v>7</v>
      </c>
      <c r="B39" s="188" t="s">
        <v>786</v>
      </c>
      <c r="D39" s="345"/>
    </row>
    <row r="40" spans="1:21">
      <c r="A40" s="424" t="s">
        <v>9</v>
      </c>
      <c r="B40" s="188" t="s">
        <v>1010</v>
      </c>
      <c r="D40" s="345"/>
    </row>
    <row r="41" spans="1:21" ht="15.75" customHeight="1">
      <c r="A41" s="346" t="s">
        <v>11</v>
      </c>
      <c r="B41" s="347" t="s">
        <v>796</v>
      </c>
      <c r="C41" s="347"/>
    </row>
    <row r="42" spans="1:21">
      <c r="A42" s="346" t="s">
        <v>13</v>
      </c>
      <c r="B42" s="188" t="s">
        <v>14</v>
      </c>
    </row>
    <row r="43" spans="1:21">
      <c r="A43" s="346" t="s">
        <v>15</v>
      </c>
      <c r="B43" s="358">
        <f>B48</f>
        <v>3.15</v>
      </c>
      <c r="C43" s="358"/>
    </row>
    <row r="44" spans="1:21">
      <c r="A44" s="346" t="s">
        <v>16</v>
      </c>
      <c r="B44" s="188" t="s">
        <v>17</v>
      </c>
    </row>
    <row r="45" spans="1:21">
      <c r="A45" s="346" t="s">
        <v>18</v>
      </c>
      <c r="B45" s="188" t="s">
        <v>37</v>
      </c>
    </row>
    <row r="46" spans="1:21">
      <c r="A46" s="343" t="s">
        <v>19</v>
      </c>
    </row>
    <row r="47" spans="1:21">
      <c r="A47" s="344" t="s">
        <v>20</v>
      </c>
      <c r="B47" s="344" t="s">
        <v>21</v>
      </c>
      <c r="C47" s="382" t="s">
        <v>217</v>
      </c>
      <c r="D47" s="344" t="s">
        <v>18</v>
      </c>
      <c r="E47" s="344" t="s">
        <v>22</v>
      </c>
      <c r="F47" s="344" t="s">
        <v>7</v>
      </c>
      <c r="G47" s="344" t="s">
        <v>13</v>
      </c>
      <c r="H47" s="344" t="s">
        <v>16</v>
      </c>
      <c r="I47" s="344" t="s">
        <v>23</v>
      </c>
      <c r="J47" s="344" t="s">
        <v>24</v>
      </c>
      <c r="K47" s="344" t="s">
        <v>25</v>
      </c>
      <c r="L47" s="344" t="s">
        <v>26</v>
      </c>
      <c r="M47" s="344" t="s">
        <v>27</v>
      </c>
      <c r="N47" s="344" t="s">
        <v>28</v>
      </c>
      <c r="O47" s="344" t="s">
        <v>11</v>
      </c>
      <c r="U47" s="415"/>
    </row>
    <row r="48" spans="1:21">
      <c r="A48" s="188" t="s">
        <v>1009</v>
      </c>
      <c r="B48" s="188">
        <f>Q48</f>
        <v>3.15</v>
      </c>
      <c r="D48" s="188" t="s">
        <v>37</v>
      </c>
      <c r="E48" s="408" t="s">
        <v>2</v>
      </c>
      <c r="F48" s="188" t="s">
        <v>29</v>
      </c>
      <c r="G48" s="188" t="s">
        <v>14</v>
      </c>
      <c r="H48" s="188" t="s">
        <v>30</v>
      </c>
      <c r="I48" s="188">
        <v>2</v>
      </c>
      <c r="J48" s="188">
        <f>LN(B48)</f>
        <v>1.1474024528375417</v>
      </c>
      <c r="K48" s="188">
        <v>0.10307764064044142</v>
      </c>
      <c r="L48" s="188" t="s">
        <v>31</v>
      </c>
      <c r="M48" s="188" t="s">
        <v>31</v>
      </c>
      <c r="N48" s="188" t="s">
        <v>31</v>
      </c>
      <c r="Q48" s="465">
        <v>3.15</v>
      </c>
    </row>
    <row r="49" spans="1:25">
      <c r="A49" s="88" t="s">
        <v>905</v>
      </c>
      <c r="B49" s="188">
        <f>Q49</f>
        <v>3.34</v>
      </c>
      <c r="D49" s="188" t="s">
        <v>37</v>
      </c>
      <c r="E49" s="188" t="s">
        <v>40</v>
      </c>
      <c r="F49" s="188" t="s">
        <v>29</v>
      </c>
      <c r="G49" s="188" t="s">
        <v>59</v>
      </c>
      <c r="H49" s="188" t="s">
        <v>33</v>
      </c>
      <c r="I49" s="188">
        <v>2</v>
      </c>
      <c r="J49" s="188">
        <f t="shared" ref="J49:J57" si="4">LN(B49)</f>
        <v>1.205970806988609</v>
      </c>
      <c r="K49" s="188">
        <v>4.9999999999998969E-3</v>
      </c>
      <c r="L49" s="188" t="s">
        <v>31</v>
      </c>
      <c r="M49" s="188" t="s">
        <v>31</v>
      </c>
      <c r="N49" s="188" t="s">
        <v>31</v>
      </c>
      <c r="P49" s="401" t="s">
        <v>241</v>
      </c>
      <c r="Q49" s="414">
        <v>3.34</v>
      </c>
    </row>
    <row r="50" spans="1:25">
      <c r="A50" s="27" t="s">
        <v>69</v>
      </c>
      <c r="B50" s="188">
        <f>S50</f>
        <v>0.88772845953002621</v>
      </c>
      <c r="D50" s="188" t="s">
        <v>42</v>
      </c>
      <c r="E50" s="188" t="s">
        <v>40</v>
      </c>
      <c r="F50" s="188" t="s">
        <v>29</v>
      </c>
      <c r="G50" s="188" t="s">
        <v>249</v>
      </c>
      <c r="H50" s="188" t="s">
        <v>33</v>
      </c>
      <c r="I50" s="188">
        <v>2</v>
      </c>
      <c r="J50" s="188">
        <f t="shared" si="4"/>
        <v>-0.11908937157043879</v>
      </c>
      <c r="K50" s="188">
        <v>4.9999999999998969E-3</v>
      </c>
      <c r="L50" s="188" t="s">
        <v>31</v>
      </c>
      <c r="M50" s="188" t="s">
        <v>31</v>
      </c>
      <c r="N50" s="188" t="s">
        <v>31</v>
      </c>
      <c r="P50" s="401" t="s">
        <v>250</v>
      </c>
      <c r="Q50" s="414">
        <v>34</v>
      </c>
      <c r="R50" s="188" t="s">
        <v>251</v>
      </c>
      <c r="S50" s="188">
        <f>Q50/38.3</f>
        <v>0.88772845953002621</v>
      </c>
      <c r="T50" s="466"/>
      <c r="U50" s="467"/>
      <c r="V50" s="467"/>
      <c r="W50" s="467"/>
      <c r="X50" s="467"/>
      <c r="Y50" s="467"/>
    </row>
    <row r="51" spans="1:25">
      <c r="A51" s="346" t="s">
        <v>269</v>
      </c>
      <c r="B51" s="350">
        <f>Q51</f>
        <v>8.19</v>
      </c>
      <c r="C51" s="350"/>
      <c r="D51" s="188" t="s">
        <v>39</v>
      </c>
      <c r="E51" s="188" t="s">
        <v>40</v>
      </c>
      <c r="F51" s="188" t="s">
        <v>29</v>
      </c>
      <c r="G51" s="37" t="s">
        <v>59</v>
      </c>
      <c r="H51" s="188" t="s">
        <v>33</v>
      </c>
      <c r="I51" s="188">
        <v>2</v>
      </c>
      <c r="J51" s="188">
        <f t="shared" si="4"/>
        <v>2.102913897864978</v>
      </c>
      <c r="K51" s="188">
        <v>4.9999999999998969E-3</v>
      </c>
      <c r="L51" s="188" t="s">
        <v>31</v>
      </c>
      <c r="M51" s="188" t="s">
        <v>31</v>
      </c>
      <c r="N51" s="188" t="s">
        <v>31</v>
      </c>
      <c r="P51" s="401" t="s">
        <v>248</v>
      </c>
      <c r="Q51" s="414">
        <v>8.19</v>
      </c>
    </row>
    <row r="52" spans="1:25">
      <c r="A52" s="88" t="s">
        <v>907</v>
      </c>
      <c r="B52" s="188">
        <f>S52</f>
        <v>6.3E-2</v>
      </c>
      <c r="D52" s="188" t="s">
        <v>37</v>
      </c>
      <c r="E52" s="188" t="s">
        <v>40</v>
      </c>
      <c r="F52" s="188" t="s">
        <v>29</v>
      </c>
      <c r="G52" s="188" t="s">
        <v>35</v>
      </c>
      <c r="H52" s="188" t="s">
        <v>33</v>
      </c>
      <c r="I52" s="188">
        <v>2</v>
      </c>
      <c r="J52" s="188">
        <f t="shared" si="4"/>
        <v>-2.7646205525906042</v>
      </c>
      <c r="K52" s="188">
        <v>0.10049875621120885</v>
      </c>
      <c r="L52" s="188" t="s">
        <v>31</v>
      </c>
      <c r="M52" s="188" t="s">
        <v>31</v>
      </c>
      <c r="N52" s="188" t="s">
        <v>31</v>
      </c>
      <c r="P52" s="401" t="s">
        <v>580</v>
      </c>
      <c r="Q52" s="414">
        <v>63</v>
      </c>
      <c r="R52" s="401" t="s">
        <v>241</v>
      </c>
      <c r="S52" s="414">
        <f t="shared" ref="S52:S54" si="5">0.001*Q52</f>
        <v>6.3E-2</v>
      </c>
    </row>
    <row r="53" spans="1:25">
      <c r="A53" s="88" t="s">
        <v>908</v>
      </c>
      <c r="B53" s="188">
        <f>S53</f>
        <v>1.3000000000000002E-3</v>
      </c>
      <c r="D53" s="188" t="s">
        <v>37</v>
      </c>
      <c r="E53" s="188" t="s">
        <v>43</v>
      </c>
      <c r="F53" s="188" t="s">
        <v>44</v>
      </c>
      <c r="G53" s="188" t="s">
        <v>29</v>
      </c>
      <c r="H53" s="188" t="s">
        <v>45</v>
      </c>
      <c r="I53" s="188">
        <v>2</v>
      </c>
      <c r="J53" s="188">
        <f t="shared" si="4"/>
        <v>-6.6453910145146455</v>
      </c>
      <c r="K53" s="188">
        <v>4.9999999999998969E-3</v>
      </c>
      <c r="L53" s="188" t="s">
        <v>31</v>
      </c>
      <c r="M53" s="188" t="s">
        <v>31</v>
      </c>
      <c r="N53" s="188" t="s">
        <v>31</v>
      </c>
      <c r="P53" s="416" t="s">
        <v>580</v>
      </c>
      <c r="Q53" s="439">
        <v>1.3</v>
      </c>
      <c r="R53" s="401" t="s">
        <v>241</v>
      </c>
      <c r="S53" s="414">
        <f t="shared" si="5"/>
        <v>1.3000000000000002E-3</v>
      </c>
    </row>
    <row r="54" spans="1:25">
      <c r="A54" s="346" t="s">
        <v>758</v>
      </c>
      <c r="B54" s="188">
        <f>S54</f>
        <v>3.2000000000000002E-3</v>
      </c>
      <c r="D54" s="188" t="s">
        <v>37</v>
      </c>
      <c r="E54" s="188" t="s">
        <v>43</v>
      </c>
      <c r="F54" s="188" t="s">
        <v>44</v>
      </c>
      <c r="G54" s="37" t="s">
        <v>29</v>
      </c>
      <c r="H54" s="188" t="s">
        <v>45</v>
      </c>
      <c r="I54" s="188">
        <v>2</v>
      </c>
      <c r="J54" s="188">
        <f t="shared" si="4"/>
        <v>-5.7446044691764557</v>
      </c>
      <c r="K54" s="188">
        <v>8.9582364335844641E-2</v>
      </c>
      <c r="L54" s="188" t="s">
        <v>31</v>
      </c>
      <c r="M54" s="188" t="s">
        <v>31</v>
      </c>
      <c r="N54" s="188" t="s">
        <v>31</v>
      </c>
      <c r="P54" s="416" t="s">
        <v>580</v>
      </c>
      <c r="Q54" s="439">
        <v>3.2</v>
      </c>
      <c r="R54" s="401" t="s">
        <v>241</v>
      </c>
      <c r="S54" s="414">
        <f t="shared" si="5"/>
        <v>3.2000000000000002E-3</v>
      </c>
    </row>
    <row r="55" spans="1:25">
      <c r="A55" s="438" t="s">
        <v>265</v>
      </c>
      <c r="B55" s="188">
        <f>Q56</f>
        <v>0.19</v>
      </c>
      <c r="C55" s="192" t="s">
        <v>266</v>
      </c>
      <c r="D55" s="188" t="s">
        <v>37</v>
      </c>
      <c r="E55" s="188" t="s">
        <v>40</v>
      </c>
      <c r="F55" s="188" t="s">
        <v>29</v>
      </c>
      <c r="G55" s="37" t="s">
        <v>35</v>
      </c>
      <c r="H55" s="188" t="s">
        <v>33</v>
      </c>
      <c r="I55" s="188">
        <v>2</v>
      </c>
      <c r="J55" s="188">
        <f t="shared" si="4"/>
        <v>-1.6607312068216509</v>
      </c>
      <c r="K55" s="188">
        <v>9.6046863561492793E-2</v>
      </c>
      <c r="L55" s="188" t="s">
        <v>31</v>
      </c>
      <c r="M55" s="188" t="s">
        <v>31</v>
      </c>
      <c r="N55" s="188" t="s">
        <v>31</v>
      </c>
      <c r="P55" s="416"/>
      <c r="Q55" s="439"/>
      <c r="R55" s="432"/>
      <c r="S55" s="433"/>
    </row>
    <row r="56" spans="1:25">
      <c r="A56" s="192" t="s">
        <v>263</v>
      </c>
      <c r="B56" s="188">
        <f>Q56</f>
        <v>0.19</v>
      </c>
      <c r="D56" s="188" t="s">
        <v>37</v>
      </c>
      <c r="E56" s="188" t="s">
        <v>40</v>
      </c>
      <c r="F56" s="188" t="s">
        <v>29</v>
      </c>
      <c r="G56" s="188" t="s">
        <v>35</v>
      </c>
      <c r="H56" s="188" t="s">
        <v>33</v>
      </c>
      <c r="I56" s="188">
        <v>2</v>
      </c>
      <c r="J56" s="188">
        <f t="shared" si="4"/>
        <v>-1.6607312068216509</v>
      </c>
      <c r="K56" s="188">
        <v>4.9999999999998969E-3</v>
      </c>
      <c r="L56" s="188" t="s">
        <v>31</v>
      </c>
      <c r="M56" s="188" t="s">
        <v>31</v>
      </c>
      <c r="N56" s="188" t="s">
        <v>31</v>
      </c>
      <c r="P56" s="418" t="s">
        <v>241</v>
      </c>
      <c r="Q56" s="419">
        <v>0.19</v>
      </c>
    </row>
    <row r="57" spans="1:25">
      <c r="A57" s="88" t="s">
        <v>905</v>
      </c>
      <c r="B57" s="188">
        <f>Q56</f>
        <v>0.19</v>
      </c>
      <c r="D57" s="188" t="s">
        <v>37</v>
      </c>
      <c r="E57" s="188" t="s">
        <v>40</v>
      </c>
      <c r="F57" s="188" t="s">
        <v>29</v>
      </c>
      <c r="G57" s="188" t="s">
        <v>59</v>
      </c>
      <c r="H57" s="188" t="s">
        <v>136</v>
      </c>
      <c r="I57" s="188">
        <v>2</v>
      </c>
      <c r="J57" s="188">
        <f t="shared" si="4"/>
        <v>-1.6607312068216509</v>
      </c>
      <c r="K57" s="188">
        <v>4.9999999999998969E-3</v>
      </c>
      <c r="L57" s="188" t="s">
        <v>31</v>
      </c>
      <c r="M57" s="188" t="s">
        <v>31</v>
      </c>
      <c r="N57" s="188" t="s">
        <v>31</v>
      </c>
    </row>
  </sheetData>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93C8-D56E-4792-B3C4-722BA8D03B82}">
  <sheetPr>
    <tabColor theme="8"/>
  </sheetPr>
  <dimension ref="A1:U362"/>
  <sheetViews>
    <sheetView zoomScale="85" zoomScaleNormal="85" workbookViewId="0">
      <selection activeCell="G19" sqref="G19"/>
    </sheetView>
  </sheetViews>
  <sheetFormatPr defaultRowHeight="14.45"/>
  <cols>
    <col min="1" max="1" width="95.140625" customWidth="1"/>
    <col min="2" max="2" width="15.28515625" customWidth="1"/>
    <col min="3" max="3" width="14.28515625" customWidth="1"/>
    <col min="4" max="4" width="35.7109375" customWidth="1"/>
    <col min="7" max="7" width="15.5703125" customWidth="1"/>
    <col min="8" max="10" width="9.28515625" bestFit="1" customWidth="1"/>
    <col min="16" max="17" width="9.28515625" bestFit="1" customWidth="1"/>
    <col min="18" max="18" width="11" bestFit="1" customWidth="1"/>
    <col min="19" max="20" width="9.2851562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70" t="s">
        <v>5</v>
      </c>
      <c r="B2" s="371" t="s">
        <v>971</v>
      </c>
      <c r="C2" s="372"/>
      <c r="D2" s="353"/>
      <c r="E2" s="353"/>
      <c r="F2" s="353"/>
      <c r="G2" s="353"/>
      <c r="H2" s="353"/>
      <c r="I2" s="353"/>
      <c r="J2" s="353"/>
      <c r="K2" s="353"/>
      <c r="L2" s="353"/>
      <c r="M2" s="353"/>
      <c r="N2" s="188"/>
      <c r="O2" s="188"/>
      <c r="P2" s="188"/>
      <c r="Q2" s="188"/>
      <c r="R2" s="188"/>
      <c r="S2" s="188"/>
      <c r="T2" s="188"/>
      <c r="U2" s="188"/>
    </row>
    <row r="3" spans="1:21">
      <c r="A3" s="346" t="s">
        <v>7</v>
      </c>
      <c r="B3" s="188" t="s">
        <v>786</v>
      </c>
      <c r="C3" s="345"/>
      <c r="D3" s="188"/>
      <c r="E3" s="188"/>
      <c r="F3" s="188"/>
      <c r="G3" s="188"/>
      <c r="H3" s="188"/>
      <c r="I3" s="188"/>
      <c r="J3" s="188"/>
      <c r="K3" s="188"/>
      <c r="L3" s="188"/>
      <c r="M3" s="188"/>
      <c r="N3" s="188"/>
      <c r="O3" s="188"/>
      <c r="P3" s="188"/>
      <c r="Q3" s="188"/>
      <c r="R3" s="188"/>
      <c r="S3" s="188"/>
      <c r="T3" s="188"/>
      <c r="U3" s="188"/>
    </row>
    <row r="4" spans="1:21">
      <c r="A4" s="346" t="s">
        <v>9</v>
      </c>
      <c r="B4" s="188" t="s">
        <v>1011</v>
      </c>
      <c r="C4" s="345"/>
      <c r="D4" s="188"/>
      <c r="E4" s="188"/>
      <c r="F4" s="188"/>
      <c r="G4" s="188"/>
      <c r="H4" s="188"/>
      <c r="I4" s="188"/>
      <c r="J4" s="188"/>
      <c r="K4" s="188"/>
      <c r="L4" s="188"/>
      <c r="M4" s="188"/>
      <c r="N4" s="188"/>
      <c r="O4" s="188"/>
      <c r="P4" s="188"/>
      <c r="Q4" s="188"/>
      <c r="R4" s="188"/>
      <c r="S4" s="188"/>
      <c r="T4" s="188"/>
      <c r="U4" s="188"/>
    </row>
    <row r="5" spans="1:21" ht="16.5" customHeight="1">
      <c r="A5" s="346" t="s">
        <v>11</v>
      </c>
      <c r="B5" s="347" t="s">
        <v>796</v>
      </c>
      <c r="C5" s="188"/>
      <c r="D5" s="188"/>
      <c r="E5" s="188"/>
      <c r="F5" s="188"/>
      <c r="G5" s="188"/>
      <c r="H5" s="188"/>
      <c r="I5" s="188"/>
      <c r="J5" s="188"/>
      <c r="K5" s="188"/>
      <c r="L5" s="188"/>
      <c r="M5" s="188"/>
      <c r="N5" s="188"/>
      <c r="O5" s="188"/>
      <c r="P5" s="188"/>
      <c r="Q5" s="188"/>
      <c r="R5" s="188"/>
      <c r="S5" s="188"/>
      <c r="T5" s="188"/>
      <c r="U5" s="188"/>
    </row>
    <row r="6" spans="1:21">
      <c r="A6" s="346" t="s">
        <v>13</v>
      </c>
      <c r="B6" s="188" t="s">
        <v>14</v>
      </c>
      <c r="C6" s="188"/>
      <c r="D6" s="188"/>
      <c r="E6" s="188"/>
      <c r="F6" s="188"/>
      <c r="G6" s="188"/>
      <c r="H6" s="188"/>
      <c r="I6" s="188"/>
      <c r="J6" s="188"/>
      <c r="K6" s="188"/>
      <c r="L6" s="188"/>
      <c r="M6" s="188"/>
      <c r="N6" s="188"/>
      <c r="O6" s="188"/>
      <c r="P6" s="188"/>
      <c r="Q6" s="188"/>
      <c r="R6" s="188"/>
      <c r="S6" s="188"/>
      <c r="T6" s="188"/>
      <c r="U6" s="188"/>
    </row>
    <row r="7" spans="1:21">
      <c r="A7" s="346" t="s">
        <v>15</v>
      </c>
      <c r="B7" s="188">
        <f>B12</f>
        <v>0.19</v>
      </c>
      <c r="C7" s="188"/>
      <c r="D7" s="188"/>
      <c r="E7" s="188"/>
      <c r="F7" s="188"/>
      <c r="G7" s="188"/>
      <c r="H7" s="188"/>
      <c r="I7" s="188"/>
      <c r="J7" s="188"/>
      <c r="K7" s="188"/>
      <c r="L7" s="188"/>
      <c r="M7" s="188"/>
      <c r="N7" s="188"/>
      <c r="O7" s="188" t="s">
        <v>1012</v>
      </c>
      <c r="P7" s="188"/>
      <c r="Q7" s="188"/>
      <c r="R7" s="188"/>
      <c r="S7" s="188"/>
      <c r="T7" s="188"/>
      <c r="U7" s="188"/>
    </row>
    <row r="8" spans="1:21">
      <c r="A8" s="346" t="s">
        <v>16</v>
      </c>
      <c r="B8" s="188" t="s">
        <v>17</v>
      </c>
      <c r="C8" s="188"/>
      <c r="D8" s="188"/>
      <c r="E8" s="188"/>
      <c r="F8" s="188"/>
      <c r="G8" s="188"/>
      <c r="H8" s="188"/>
      <c r="I8" s="188"/>
      <c r="J8" s="188"/>
      <c r="K8" s="188"/>
      <c r="L8" s="188"/>
      <c r="M8" s="188"/>
      <c r="N8" s="188"/>
      <c r="O8" s="188"/>
      <c r="P8" s="188"/>
      <c r="Q8" s="188"/>
      <c r="R8" s="188"/>
      <c r="S8" s="188"/>
      <c r="T8" s="188"/>
      <c r="U8" s="188"/>
    </row>
    <row r="9" spans="1:21">
      <c r="A9" s="346" t="s">
        <v>18</v>
      </c>
      <c r="B9" s="188" t="s">
        <v>37</v>
      </c>
      <c r="C9" s="188"/>
      <c r="D9" s="188"/>
      <c r="E9" s="188"/>
      <c r="F9" s="188"/>
      <c r="G9" s="188"/>
      <c r="H9" s="188"/>
      <c r="I9" s="188"/>
      <c r="J9" s="188"/>
      <c r="K9" s="188"/>
      <c r="L9" s="188"/>
      <c r="M9" s="188"/>
      <c r="N9" s="188"/>
      <c r="O9" s="188"/>
      <c r="P9" s="188"/>
      <c r="Q9" s="188"/>
      <c r="R9" s="188"/>
      <c r="S9" s="188"/>
      <c r="T9" s="188"/>
      <c r="U9" s="188"/>
    </row>
    <row r="10" spans="1:21">
      <c r="A10" s="343"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c r="U11" s="188"/>
    </row>
    <row r="12" spans="1:21">
      <c r="A12" s="346" t="s">
        <v>971</v>
      </c>
      <c r="B12" s="188">
        <f>'2B. ISOLATING DCDC CONVERTER'!B16</f>
        <v>0.19</v>
      </c>
      <c r="C12" s="188" t="s">
        <v>37</v>
      </c>
      <c r="D12" s="408"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1013</v>
      </c>
      <c r="B13" s="188">
        <v>1</v>
      </c>
      <c r="C13" s="188" t="s">
        <v>18</v>
      </c>
      <c r="D13" s="408" t="s">
        <v>2</v>
      </c>
      <c r="E13" s="188" t="s">
        <v>29</v>
      </c>
      <c r="F13" s="37" t="s">
        <v>14</v>
      </c>
      <c r="G13" s="188" t="s">
        <v>33</v>
      </c>
      <c r="H13" s="188">
        <v>1</v>
      </c>
      <c r="I13" s="415">
        <f>B13</f>
        <v>1</v>
      </c>
      <c r="J13" s="188" t="s">
        <v>31</v>
      </c>
      <c r="K13" s="188" t="s">
        <v>31</v>
      </c>
      <c r="L13" s="188" t="s">
        <v>31</v>
      </c>
      <c r="M13" s="188" t="s">
        <v>31</v>
      </c>
      <c r="N13" s="188"/>
      <c r="O13" s="188"/>
      <c r="P13" s="188"/>
      <c r="Q13" s="188"/>
      <c r="R13" s="188"/>
      <c r="S13" s="188"/>
      <c r="T13" s="188"/>
      <c r="U13" s="188"/>
    </row>
    <row r="14" spans="1:21">
      <c r="A14" s="188" t="s">
        <v>1014</v>
      </c>
      <c r="B14" s="188">
        <v>1</v>
      </c>
      <c r="C14" s="188" t="s">
        <v>18</v>
      </c>
      <c r="D14" s="408" t="s">
        <v>2</v>
      </c>
      <c r="E14" s="188" t="s">
        <v>29</v>
      </c>
      <c r="F14" s="37" t="s">
        <v>14</v>
      </c>
      <c r="G14" s="188" t="s">
        <v>33</v>
      </c>
      <c r="H14" s="188">
        <v>1</v>
      </c>
      <c r="I14" s="415">
        <f>B14</f>
        <v>1</v>
      </c>
      <c r="J14" s="188" t="s">
        <v>31</v>
      </c>
      <c r="K14" s="188" t="s">
        <v>31</v>
      </c>
      <c r="L14" s="188" t="s">
        <v>31</v>
      </c>
      <c r="M14" s="188" t="s">
        <v>31</v>
      </c>
      <c r="N14" s="188"/>
      <c r="O14" s="188"/>
      <c r="P14" s="188"/>
      <c r="Q14" s="188"/>
      <c r="R14" s="188"/>
      <c r="S14" s="188"/>
      <c r="T14" s="188"/>
      <c r="U14" s="188"/>
    </row>
    <row r="15" spans="1:21">
      <c r="A15" s="88" t="s">
        <v>179</v>
      </c>
      <c r="B15" s="392">
        <f>R15</f>
        <v>1.8E-5</v>
      </c>
      <c r="C15" s="188" t="s">
        <v>37</v>
      </c>
      <c r="D15" s="188" t="s">
        <v>40</v>
      </c>
      <c r="E15" s="188" t="s">
        <v>29</v>
      </c>
      <c r="F15" s="37" t="s">
        <v>35</v>
      </c>
      <c r="G15" s="188" t="s">
        <v>33</v>
      </c>
      <c r="H15" s="188">
        <v>2</v>
      </c>
      <c r="I15" s="188">
        <f>LN(B15)</f>
        <v>-10.92513880006811</v>
      </c>
      <c r="J15" s="188">
        <v>2.8722813232690055E-2</v>
      </c>
      <c r="K15" s="188" t="s">
        <v>31</v>
      </c>
      <c r="L15" s="188" t="s">
        <v>31</v>
      </c>
      <c r="M15" s="188" t="s">
        <v>31</v>
      </c>
      <c r="N15" s="188"/>
      <c r="O15" s="383" t="s">
        <v>580</v>
      </c>
      <c r="P15" s="452">
        <v>1.7999999999999999E-2</v>
      </c>
      <c r="Q15" s="188" t="s">
        <v>241</v>
      </c>
      <c r="R15" s="392">
        <f>P15*0.001</f>
        <v>1.8E-5</v>
      </c>
      <c r="S15" s="188"/>
      <c r="T15" s="188"/>
      <c r="U15" s="188"/>
    </row>
    <row r="16" spans="1:21">
      <c r="A16" s="370" t="s">
        <v>5</v>
      </c>
      <c r="B16" s="371" t="s">
        <v>1014</v>
      </c>
      <c r="C16" s="372"/>
      <c r="D16" s="353"/>
      <c r="E16" s="353"/>
      <c r="F16" s="353"/>
      <c r="G16" s="353"/>
      <c r="H16" s="353"/>
      <c r="I16" s="353"/>
      <c r="J16" s="353"/>
      <c r="K16" s="353"/>
      <c r="L16" s="353"/>
      <c r="M16" s="353"/>
      <c r="N16" s="188"/>
      <c r="O16" s="188"/>
      <c r="P16" s="188"/>
      <c r="Q16" s="188"/>
      <c r="R16" s="188"/>
      <c r="S16" s="188"/>
      <c r="T16" s="188"/>
      <c r="U16" s="188"/>
    </row>
    <row r="17" spans="1:21">
      <c r="A17" s="346" t="s">
        <v>7</v>
      </c>
      <c r="B17" s="188" t="s">
        <v>786</v>
      </c>
      <c r="C17" s="345"/>
      <c r="D17" s="188"/>
      <c r="E17" s="188"/>
      <c r="F17" s="188"/>
      <c r="G17" s="188"/>
      <c r="H17" s="188"/>
      <c r="I17" s="188"/>
      <c r="J17" s="188"/>
      <c r="K17" s="188"/>
      <c r="L17" s="188"/>
      <c r="M17" s="188"/>
      <c r="N17" s="188"/>
      <c r="O17" s="188"/>
      <c r="P17" s="188"/>
      <c r="Q17" s="188"/>
      <c r="R17" s="188"/>
      <c r="S17" s="188"/>
      <c r="T17" s="188"/>
      <c r="U17" s="188"/>
    </row>
    <row r="18" spans="1:21">
      <c r="A18" s="346" t="s">
        <v>9</v>
      </c>
      <c r="B18" s="188" t="s">
        <v>1015</v>
      </c>
      <c r="C18" s="345"/>
      <c r="D18" s="188"/>
      <c r="E18" s="188"/>
      <c r="F18" s="188"/>
      <c r="G18" s="188"/>
      <c r="H18" s="188"/>
      <c r="I18" s="188"/>
      <c r="J18" s="188"/>
      <c r="K18" s="188"/>
      <c r="L18" s="188"/>
      <c r="M18" s="188"/>
      <c r="N18" s="188"/>
      <c r="O18" s="188"/>
      <c r="P18" s="188"/>
      <c r="Q18" s="188"/>
      <c r="R18" s="188"/>
      <c r="S18" s="188"/>
      <c r="T18" s="188"/>
      <c r="U18" s="188"/>
    </row>
    <row r="19" spans="1:21" ht="16.5" customHeight="1">
      <c r="A19" s="346" t="s">
        <v>11</v>
      </c>
      <c r="B19" s="347" t="s">
        <v>796</v>
      </c>
      <c r="C19" s="188"/>
      <c r="D19" s="188"/>
      <c r="E19" s="188"/>
      <c r="F19" s="188"/>
      <c r="G19" s="188"/>
      <c r="H19" s="188"/>
      <c r="I19" s="188"/>
      <c r="J19" s="188"/>
      <c r="K19" s="188"/>
      <c r="L19" s="188"/>
      <c r="M19" s="188"/>
      <c r="N19" s="188"/>
      <c r="O19" s="188"/>
      <c r="P19" s="188"/>
      <c r="Q19" s="188"/>
      <c r="R19" s="188"/>
      <c r="S19" s="188"/>
      <c r="T19" s="188"/>
      <c r="U19" s="188"/>
    </row>
    <row r="20" spans="1:21">
      <c r="A20" s="346"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46"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46"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46"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43"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43" t="s">
        <v>20</v>
      </c>
      <c r="B25" s="344" t="s">
        <v>21</v>
      </c>
      <c r="C25" s="344" t="s">
        <v>18</v>
      </c>
      <c r="D25" s="344" t="s">
        <v>22</v>
      </c>
      <c r="E25" s="344" t="s">
        <v>7</v>
      </c>
      <c r="F25" s="344" t="s">
        <v>13</v>
      </c>
      <c r="G25" s="344" t="s">
        <v>16</v>
      </c>
      <c r="H25" s="344" t="s">
        <v>23</v>
      </c>
      <c r="I25" s="344" t="s">
        <v>24</v>
      </c>
      <c r="J25" s="344" t="s">
        <v>25</v>
      </c>
      <c r="K25" s="344" t="s">
        <v>26</v>
      </c>
      <c r="L25" s="344" t="s">
        <v>27</v>
      </c>
      <c r="M25" s="344" t="s">
        <v>28</v>
      </c>
      <c r="N25" s="344" t="s">
        <v>11</v>
      </c>
      <c r="O25" s="188"/>
      <c r="P25" s="188"/>
      <c r="Q25" s="188"/>
      <c r="R25" s="188"/>
      <c r="S25" s="188"/>
      <c r="T25" s="188"/>
      <c r="U25" s="188"/>
    </row>
    <row r="26" spans="1:21">
      <c r="A26" s="188" t="s">
        <v>1014</v>
      </c>
      <c r="B26" s="188">
        <v>1</v>
      </c>
      <c r="C26" s="188" t="s">
        <v>18</v>
      </c>
      <c r="D26" s="408" t="s">
        <v>2</v>
      </c>
      <c r="E26" s="188" t="s">
        <v>29</v>
      </c>
      <c r="F26" s="37" t="s">
        <v>14</v>
      </c>
      <c r="G26" s="188" t="s">
        <v>30</v>
      </c>
      <c r="H26" s="188">
        <v>1</v>
      </c>
      <c r="I26" s="415">
        <f>B26</f>
        <v>1</v>
      </c>
      <c r="J26" s="188" t="s">
        <v>31</v>
      </c>
      <c r="K26" s="188" t="s">
        <v>31</v>
      </c>
      <c r="L26" s="188" t="s">
        <v>31</v>
      </c>
      <c r="M26" s="188" t="s">
        <v>31</v>
      </c>
      <c r="N26" s="188"/>
      <c r="O26" s="188"/>
      <c r="P26" s="188"/>
      <c r="Q26" s="188"/>
      <c r="R26" s="188"/>
      <c r="S26" s="188"/>
      <c r="T26" s="188"/>
      <c r="U26" s="188"/>
    </row>
    <row r="27" spans="1:21">
      <c r="A27" s="88" t="s">
        <v>614</v>
      </c>
      <c r="B27" s="188">
        <v>0.04</v>
      </c>
      <c r="C27" s="188" t="s">
        <v>37</v>
      </c>
      <c r="D27" s="188" t="s">
        <v>40</v>
      </c>
      <c r="E27" s="188" t="s">
        <v>29</v>
      </c>
      <c r="F27" s="188" t="s">
        <v>59</v>
      </c>
      <c r="G27" s="188" t="s">
        <v>33</v>
      </c>
      <c r="H27" s="188">
        <v>1</v>
      </c>
      <c r="I27" s="415">
        <f>B27</f>
        <v>0.04</v>
      </c>
      <c r="J27" s="188" t="s">
        <v>31</v>
      </c>
      <c r="K27" s="188" t="s">
        <v>31</v>
      </c>
      <c r="L27" s="188" t="s">
        <v>31</v>
      </c>
      <c r="M27" s="188" t="s">
        <v>31</v>
      </c>
      <c r="N27" s="188"/>
      <c r="O27" s="188"/>
      <c r="P27" s="188"/>
      <c r="Q27" s="188"/>
      <c r="R27" s="188"/>
      <c r="S27" s="188"/>
      <c r="T27" s="188"/>
      <c r="U27" s="188"/>
    </row>
    <row r="28" spans="1:21">
      <c r="A28" s="88" t="s">
        <v>913</v>
      </c>
      <c r="B28" s="188">
        <f>R28</f>
        <v>2.9000000000000001E-2</v>
      </c>
      <c r="C28" s="188" t="s">
        <v>37</v>
      </c>
      <c r="D28" s="188" t="s">
        <v>40</v>
      </c>
      <c r="E28" s="188" t="s">
        <v>29</v>
      </c>
      <c r="F28" s="188" t="s">
        <v>59</v>
      </c>
      <c r="G28" s="188" t="s">
        <v>33</v>
      </c>
      <c r="H28" s="188">
        <v>2</v>
      </c>
      <c r="I28" s="188">
        <f>LN(B28)</f>
        <v>-3.5404594489956631</v>
      </c>
      <c r="J28" s="188">
        <v>3.7749172176353707E-2</v>
      </c>
      <c r="K28" s="188" t="s">
        <v>31</v>
      </c>
      <c r="L28" s="188" t="s">
        <v>31</v>
      </c>
      <c r="M28" s="188" t="s">
        <v>31</v>
      </c>
      <c r="N28" s="188"/>
      <c r="O28" s="401" t="s">
        <v>580</v>
      </c>
      <c r="P28" s="414">
        <v>29</v>
      </c>
      <c r="Q28" s="188" t="s">
        <v>241</v>
      </c>
      <c r="R28" s="188">
        <f>P28*0.001</f>
        <v>2.9000000000000001E-2</v>
      </c>
      <c r="S28" s="188"/>
      <c r="T28" s="188"/>
      <c r="U28" s="188"/>
    </row>
    <row r="29" spans="1:21">
      <c r="A29" s="88" t="s">
        <v>914</v>
      </c>
      <c r="B29" s="188">
        <f>R29</f>
        <v>1.8000000000000002E-3</v>
      </c>
      <c r="C29" s="188" t="s">
        <v>37</v>
      </c>
      <c r="D29" s="188" t="s">
        <v>40</v>
      </c>
      <c r="E29" s="188" t="s">
        <v>29</v>
      </c>
      <c r="F29" s="188" t="s">
        <v>59</v>
      </c>
      <c r="G29" s="188" t="s">
        <v>33</v>
      </c>
      <c r="H29" s="188">
        <v>2</v>
      </c>
      <c r="I29" s="188">
        <f>LN(B29)</f>
        <v>-6.3199686140800182</v>
      </c>
      <c r="J29" s="188">
        <v>3.7749172176353707E-2</v>
      </c>
      <c r="K29" s="188" t="s">
        <v>31</v>
      </c>
      <c r="L29" s="188" t="s">
        <v>31</v>
      </c>
      <c r="M29" s="188" t="s">
        <v>31</v>
      </c>
      <c r="N29" s="188"/>
      <c r="O29" s="401" t="s">
        <v>580</v>
      </c>
      <c r="P29" s="414">
        <v>1.8</v>
      </c>
      <c r="Q29" s="188" t="s">
        <v>241</v>
      </c>
      <c r="R29" s="188">
        <f t="shared" ref="R29:R30" si="0">P29*0.001</f>
        <v>1.8000000000000002E-3</v>
      </c>
      <c r="S29" s="188"/>
      <c r="T29" s="188"/>
      <c r="U29" s="188"/>
    </row>
    <row r="30" spans="1:21">
      <c r="A30" s="88" t="s">
        <v>915</v>
      </c>
      <c r="B30" s="188">
        <f>R30</f>
        <v>1.3000000000000001E-2</v>
      </c>
      <c r="C30" s="188" t="s">
        <v>37</v>
      </c>
      <c r="D30" s="188" t="s">
        <v>40</v>
      </c>
      <c r="E30" s="188" t="s">
        <v>29</v>
      </c>
      <c r="F30" s="188" t="s">
        <v>59</v>
      </c>
      <c r="G30" s="188" t="s">
        <v>33</v>
      </c>
      <c r="H30" s="188">
        <v>2</v>
      </c>
      <c r="I30" s="188">
        <f>LN(B30)</f>
        <v>-4.3428059215206005</v>
      </c>
      <c r="J30" s="188">
        <v>3.7749172176353707E-2</v>
      </c>
      <c r="K30" s="188" t="s">
        <v>31</v>
      </c>
      <c r="L30" s="188" t="s">
        <v>31</v>
      </c>
      <c r="M30" s="188" t="s">
        <v>31</v>
      </c>
      <c r="N30" s="188"/>
      <c r="O30" s="401" t="s">
        <v>580</v>
      </c>
      <c r="P30" s="414">
        <v>13</v>
      </c>
      <c r="Q30" s="188" t="s">
        <v>241</v>
      </c>
      <c r="R30" s="188">
        <f t="shared" si="0"/>
        <v>1.3000000000000001E-2</v>
      </c>
      <c r="S30" s="188"/>
      <c r="T30" s="188"/>
      <c r="U30" s="188"/>
    </row>
    <row r="31" spans="1:21">
      <c r="A31" s="370" t="s">
        <v>5</v>
      </c>
      <c r="B31" s="371" t="s">
        <v>1013</v>
      </c>
      <c r="C31" s="372"/>
      <c r="D31" s="353"/>
      <c r="E31" s="353"/>
      <c r="F31" s="353"/>
      <c r="G31" s="353"/>
      <c r="H31" s="353"/>
      <c r="I31" s="353"/>
      <c r="J31" s="353"/>
      <c r="K31" s="353"/>
      <c r="L31" s="353"/>
      <c r="M31" s="353"/>
      <c r="N31" s="188"/>
      <c r="O31" s="188"/>
      <c r="P31" s="188"/>
      <c r="Q31" s="188"/>
      <c r="R31" s="188"/>
      <c r="S31" s="188"/>
      <c r="T31" s="188"/>
      <c r="U31" s="188"/>
    </row>
    <row r="32" spans="1:21">
      <c r="A32" s="346" t="s">
        <v>7</v>
      </c>
      <c r="B32" s="188" t="s">
        <v>786</v>
      </c>
      <c r="C32" s="345"/>
      <c r="D32" s="188"/>
      <c r="E32" s="188"/>
      <c r="F32" s="188"/>
      <c r="G32" s="188"/>
      <c r="H32" s="188"/>
      <c r="I32" s="188"/>
      <c r="J32" s="188"/>
      <c r="K32" s="188"/>
      <c r="L32" s="188"/>
      <c r="M32" s="188"/>
      <c r="N32" s="188"/>
      <c r="O32" s="188"/>
      <c r="P32" s="188"/>
      <c r="Q32" s="188"/>
      <c r="R32" s="188"/>
      <c r="S32" s="188"/>
      <c r="T32" s="188"/>
      <c r="U32" s="188"/>
    </row>
    <row r="33" spans="1:21">
      <c r="A33" s="346" t="s">
        <v>9</v>
      </c>
      <c r="B33" s="188" t="s">
        <v>1016</v>
      </c>
      <c r="C33" s="345"/>
      <c r="D33" s="188"/>
      <c r="E33" s="188"/>
      <c r="F33" s="188"/>
      <c r="G33" s="188"/>
      <c r="H33" s="188"/>
      <c r="I33" s="188"/>
      <c r="J33" s="188"/>
      <c r="K33" s="188"/>
      <c r="L33" s="188"/>
      <c r="M33" s="188"/>
      <c r="N33" s="188"/>
      <c r="O33" s="188"/>
      <c r="P33" s="188"/>
      <c r="Q33" s="188"/>
      <c r="R33" s="188"/>
      <c r="S33" s="188"/>
      <c r="T33" s="188"/>
      <c r="U33" s="188"/>
    </row>
    <row r="34" spans="1:21" ht="18" customHeight="1">
      <c r="A34" s="346" t="s">
        <v>11</v>
      </c>
      <c r="B34" s="347" t="s">
        <v>796</v>
      </c>
      <c r="C34" s="188"/>
      <c r="D34" s="188"/>
      <c r="E34" s="188"/>
      <c r="F34" s="188"/>
      <c r="G34" s="188"/>
      <c r="H34" s="188"/>
      <c r="I34" s="188"/>
      <c r="J34" s="188"/>
      <c r="K34" s="188"/>
      <c r="L34" s="188"/>
      <c r="M34" s="188"/>
      <c r="N34" s="188"/>
      <c r="O34" s="188"/>
      <c r="P34" s="188"/>
      <c r="Q34" s="188"/>
      <c r="R34" s="188"/>
      <c r="S34" s="188"/>
      <c r="T34" s="188"/>
      <c r="U34" s="188"/>
    </row>
    <row r="35" spans="1:21">
      <c r="A35" s="346"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46"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46"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46"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43"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43" t="s">
        <v>20</v>
      </c>
      <c r="B40" s="344" t="s">
        <v>21</v>
      </c>
      <c r="C40" s="344" t="s">
        <v>18</v>
      </c>
      <c r="D40" s="344" t="s">
        <v>22</v>
      </c>
      <c r="E40" s="344" t="s">
        <v>7</v>
      </c>
      <c r="F40" s="344" t="s">
        <v>13</v>
      </c>
      <c r="G40" s="344" t="s">
        <v>16</v>
      </c>
      <c r="H40" s="344" t="s">
        <v>23</v>
      </c>
      <c r="I40" s="344" t="s">
        <v>24</v>
      </c>
      <c r="J40" s="344" t="s">
        <v>25</v>
      </c>
      <c r="K40" s="344" t="s">
        <v>26</v>
      </c>
      <c r="L40" s="344" t="s">
        <v>27</v>
      </c>
      <c r="M40" s="344" t="s">
        <v>28</v>
      </c>
      <c r="N40" s="344" t="s">
        <v>11</v>
      </c>
      <c r="O40" s="188"/>
      <c r="P40" s="188"/>
      <c r="Q40" s="188"/>
      <c r="R40" s="188"/>
      <c r="S40" s="188"/>
      <c r="T40" s="188"/>
      <c r="U40" s="188"/>
    </row>
    <row r="41" spans="1:21">
      <c r="A41" s="188" t="s">
        <v>1013</v>
      </c>
      <c r="B41" s="188">
        <v>1</v>
      </c>
      <c r="C41" s="188" t="s">
        <v>18</v>
      </c>
      <c r="D41" s="408" t="s">
        <v>2</v>
      </c>
      <c r="E41" s="188" t="s">
        <v>29</v>
      </c>
      <c r="F41" s="37" t="s">
        <v>14</v>
      </c>
      <c r="G41" s="188" t="s">
        <v>30</v>
      </c>
      <c r="H41" s="188">
        <v>1</v>
      </c>
      <c r="I41" s="415">
        <f>B41</f>
        <v>1</v>
      </c>
      <c r="J41" s="188" t="s">
        <v>31</v>
      </c>
      <c r="K41" s="188" t="s">
        <v>31</v>
      </c>
      <c r="L41" s="188" t="s">
        <v>31</v>
      </c>
      <c r="M41" s="188" t="s">
        <v>31</v>
      </c>
      <c r="N41" s="188"/>
      <c r="O41" s="188"/>
      <c r="P41" s="188"/>
      <c r="Q41" s="188"/>
      <c r="R41" s="188"/>
      <c r="S41" s="188"/>
      <c r="T41" s="188"/>
      <c r="U41" s="188"/>
    </row>
    <row r="42" spans="1:21">
      <c r="A42" s="88" t="s">
        <v>1017</v>
      </c>
      <c r="B42" s="188">
        <f>B55</f>
        <v>1.4E-2</v>
      </c>
      <c r="C42" s="188" t="s">
        <v>37</v>
      </c>
      <c r="D42" s="408" t="s">
        <v>2</v>
      </c>
      <c r="E42" s="188" t="s">
        <v>29</v>
      </c>
      <c r="F42" s="37" t="s">
        <v>14</v>
      </c>
      <c r="G42" s="188" t="s">
        <v>33</v>
      </c>
      <c r="H42" s="188">
        <v>1</v>
      </c>
      <c r="I42" s="415">
        <f>B42</f>
        <v>1.4E-2</v>
      </c>
      <c r="J42" s="188" t="s">
        <v>31</v>
      </c>
      <c r="K42" s="188" t="s">
        <v>31</v>
      </c>
      <c r="L42" s="188" t="s">
        <v>31</v>
      </c>
      <c r="M42" s="188" t="s">
        <v>31</v>
      </c>
      <c r="N42" s="188"/>
      <c r="O42" s="401" t="s">
        <v>241</v>
      </c>
      <c r="P42" s="414">
        <v>0.02</v>
      </c>
      <c r="Q42" s="188" t="s">
        <v>241</v>
      </c>
      <c r="R42" s="188">
        <f>P42</f>
        <v>0.02</v>
      </c>
      <c r="S42" s="188"/>
      <c r="T42" s="188"/>
      <c r="U42" s="188"/>
    </row>
    <row r="43" spans="1:21">
      <c r="A43" s="88" t="s">
        <v>1018</v>
      </c>
      <c r="B43" s="188">
        <v>1</v>
      </c>
      <c r="C43" s="188" t="s">
        <v>18</v>
      </c>
      <c r="D43" s="408" t="s">
        <v>2</v>
      </c>
      <c r="E43" s="188" t="s">
        <v>29</v>
      </c>
      <c r="F43" s="37" t="s">
        <v>14</v>
      </c>
      <c r="G43" s="188" t="s">
        <v>33</v>
      </c>
      <c r="H43" s="188">
        <v>1</v>
      </c>
      <c r="I43" s="415">
        <f>B43</f>
        <v>1</v>
      </c>
      <c r="J43" s="188" t="s">
        <v>31</v>
      </c>
      <c r="K43" s="188" t="s">
        <v>31</v>
      </c>
      <c r="L43" s="188" t="s">
        <v>31</v>
      </c>
      <c r="M43" s="188" t="s">
        <v>31</v>
      </c>
      <c r="N43" s="188"/>
      <c r="O43" s="188"/>
      <c r="P43" s="188"/>
      <c r="Q43" s="188"/>
      <c r="R43" s="188"/>
      <c r="S43" s="188"/>
      <c r="T43" s="188"/>
      <c r="U43" s="188"/>
    </row>
    <row r="44" spans="1:21">
      <c r="A44" s="346" t="s">
        <v>269</v>
      </c>
      <c r="B44" s="358">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N44" s="188"/>
      <c r="O44" s="383" t="s">
        <v>248</v>
      </c>
      <c r="P44" s="393">
        <v>0.03</v>
      </c>
      <c r="Q44" s="188" t="s">
        <v>248</v>
      </c>
      <c r="R44" s="358">
        <f>P44</f>
        <v>0.03</v>
      </c>
      <c r="S44" s="188"/>
      <c r="T44" s="188"/>
      <c r="U44" s="188"/>
    </row>
    <row r="45" spans="1:21">
      <c r="A45" s="370" t="s">
        <v>5</v>
      </c>
      <c r="B45" s="371" t="s">
        <v>1017</v>
      </c>
      <c r="C45" s="372"/>
      <c r="D45" s="353"/>
      <c r="E45" s="353"/>
      <c r="F45" s="353"/>
      <c r="G45" s="353"/>
      <c r="H45" s="353"/>
      <c r="I45" s="353"/>
      <c r="J45" s="353"/>
      <c r="K45" s="353"/>
      <c r="L45" s="353"/>
      <c r="M45" s="353"/>
      <c r="N45" s="188"/>
      <c r="O45" s="188"/>
      <c r="P45" s="188"/>
      <c r="Q45" s="188"/>
      <c r="R45" s="188"/>
      <c r="S45" s="188"/>
      <c r="T45" s="188"/>
      <c r="U45" s="188"/>
    </row>
    <row r="46" spans="1:21">
      <c r="A46" s="346" t="s">
        <v>7</v>
      </c>
      <c r="B46" s="188" t="s">
        <v>786</v>
      </c>
      <c r="C46" s="345"/>
      <c r="D46" s="188"/>
      <c r="E46" s="188"/>
      <c r="F46" s="188"/>
      <c r="G46" s="188"/>
      <c r="H46" s="188"/>
      <c r="I46" s="188"/>
      <c r="J46" s="188"/>
      <c r="K46" s="188"/>
      <c r="L46" s="188"/>
      <c r="M46" s="188"/>
      <c r="N46" s="188"/>
      <c r="O46" s="188"/>
      <c r="P46" s="188"/>
      <c r="Q46" s="188"/>
      <c r="R46" s="188"/>
      <c r="S46" s="188"/>
      <c r="T46" s="188"/>
      <c r="U46" s="188"/>
    </row>
    <row r="47" spans="1:21">
      <c r="A47" s="346" t="s">
        <v>9</v>
      </c>
      <c r="B47" s="188" t="s">
        <v>1019</v>
      </c>
      <c r="C47" s="345"/>
      <c r="D47" s="188"/>
      <c r="E47" s="188"/>
      <c r="F47" s="188"/>
      <c r="G47" s="188"/>
      <c r="H47" s="188"/>
      <c r="I47" s="188"/>
      <c r="J47" s="188"/>
      <c r="K47" s="188"/>
      <c r="L47" s="188"/>
      <c r="M47" s="188"/>
      <c r="N47" s="188"/>
      <c r="O47" s="188"/>
      <c r="P47" s="188"/>
      <c r="Q47" s="188"/>
      <c r="R47" s="188"/>
      <c r="S47" s="188"/>
      <c r="T47" s="188"/>
      <c r="U47" s="188"/>
    </row>
    <row r="48" spans="1:21" ht="11.25" customHeight="1">
      <c r="A48" s="346" t="s">
        <v>11</v>
      </c>
      <c r="B48" s="347" t="s">
        <v>796</v>
      </c>
      <c r="C48" s="188"/>
      <c r="D48" s="188"/>
      <c r="E48" s="188"/>
      <c r="F48" s="188"/>
      <c r="G48" s="188"/>
      <c r="H48" s="188"/>
      <c r="I48" s="188"/>
      <c r="J48" s="188"/>
      <c r="K48" s="188"/>
      <c r="L48" s="188"/>
      <c r="M48" s="188"/>
      <c r="N48" s="188"/>
      <c r="O48" s="188"/>
      <c r="P48" s="188"/>
      <c r="Q48" s="188"/>
      <c r="R48" s="188"/>
      <c r="S48" s="188"/>
      <c r="T48" s="188"/>
      <c r="U48" s="188"/>
    </row>
    <row r="49" spans="1:21">
      <c r="A49" s="346"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46" t="s">
        <v>15</v>
      </c>
      <c r="B50" s="188">
        <f>B55</f>
        <v>1.4E-2</v>
      </c>
      <c r="C50" s="188"/>
      <c r="D50" s="188"/>
      <c r="E50" s="188"/>
      <c r="F50" s="188"/>
      <c r="G50" s="188"/>
      <c r="H50" s="188"/>
      <c r="I50" s="188"/>
      <c r="J50" s="188"/>
      <c r="K50" s="188"/>
      <c r="L50" s="188"/>
      <c r="M50" s="188"/>
      <c r="N50" s="188"/>
      <c r="O50" s="188"/>
      <c r="P50" s="188"/>
      <c r="Q50" s="188"/>
      <c r="R50" s="188"/>
      <c r="S50" s="188"/>
      <c r="T50" s="188"/>
      <c r="U50" s="188"/>
    </row>
    <row r="51" spans="1:21">
      <c r="A51" s="346"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46" t="s">
        <v>18</v>
      </c>
      <c r="B52" s="188" t="s">
        <v>37</v>
      </c>
      <c r="C52" s="188"/>
      <c r="D52" s="188"/>
      <c r="E52" s="188"/>
      <c r="F52" s="188"/>
      <c r="G52" s="188"/>
      <c r="H52" s="188"/>
      <c r="I52" s="188"/>
      <c r="J52" s="188"/>
      <c r="K52" s="188"/>
      <c r="L52" s="188"/>
      <c r="M52" s="188"/>
      <c r="N52" s="188"/>
      <c r="O52" s="188"/>
      <c r="P52" s="188"/>
      <c r="Q52" s="188"/>
      <c r="R52" s="188"/>
      <c r="S52" s="188"/>
      <c r="T52" s="188"/>
      <c r="U52" s="188"/>
    </row>
    <row r="53" spans="1:21">
      <c r="A53" s="343"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43" t="s">
        <v>20</v>
      </c>
      <c r="B54" s="344" t="s">
        <v>21</v>
      </c>
      <c r="C54" s="344" t="s">
        <v>18</v>
      </c>
      <c r="D54" s="344" t="s">
        <v>22</v>
      </c>
      <c r="E54" s="344" t="s">
        <v>7</v>
      </c>
      <c r="F54" s="344" t="s">
        <v>13</v>
      </c>
      <c r="G54" s="344" t="s">
        <v>16</v>
      </c>
      <c r="H54" s="344" t="s">
        <v>23</v>
      </c>
      <c r="I54" s="344" t="s">
        <v>24</v>
      </c>
      <c r="J54" s="344" t="s">
        <v>25</v>
      </c>
      <c r="K54" s="344" t="s">
        <v>26</v>
      </c>
      <c r="L54" s="344" t="s">
        <v>27</v>
      </c>
      <c r="M54" s="344" t="s">
        <v>28</v>
      </c>
      <c r="N54" s="344" t="s">
        <v>11</v>
      </c>
      <c r="O54" s="188"/>
      <c r="P54" s="188"/>
      <c r="Q54" s="188"/>
      <c r="R54" s="188"/>
      <c r="S54" s="188"/>
      <c r="T54" s="188"/>
      <c r="U54" s="188"/>
    </row>
    <row r="55" spans="1:21">
      <c r="A55" s="88" t="s">
        <v>1017</v>
      </c>
      <c r="B55" s="188">
        <f>P55</f>
        <v>1.4E-2</v>
      </c>
      <c r="C55" s="188" t="s">
        <v>37</v>
      </c>
      <c r="D55" s="408" t="s">
        <v>2</v>
      </c>
      <c r="E55" s="188" t="s">
        <v>29</v>
      </c>
      <c r="F55" s="37" t="s">
        <v>14</v>
      </c>
      <c r="G55" s="188" t="s">
        <v>30</v>
      </c>
      <c r="H55" s="188">
        <v>1</v>
      </c>
      <c r="I55" s="415">
        <f>B55</f>
        <v>1.4E-2</v>
      </c>
      <c r="J55" s="188" t="s">
        <v>31</v>
      </c>
      <c r="K55" s="188" t="s">
        <v>31</v>
      </c>
      <c r="L55" s="188" t="s">
        <v>31</v>
      </c>
      <c r="M55" s="188" t="s">
        <v>31</v>
      </c>
      <c r="N55" s="188"/>
      <c r="O55" s="401" t="s">
        <v>241</v>
      </c>
      <c r="P55" s="414">
        <v>1.4E-2</v>
      </c>
      <c r="Q55" s="188" t="s">
        <v>241</v>
      </c>
      <c r="R55" s="188">
        <f>P55</f>
        <v>1.4E-2</v>
      </c>
      <c r="S55" s="188"/>
      <c r="T55" s="188"/>
      <c r="U55" s="188"/>
    </row>
    <row r="56" spans="1:21">
      <c r="A56" s="88" t="s">
        <v>179</v>
      </c>
      <c r="B56" s="392">
        <f>R56</f>
        <v>1.4E-2</v>
      </c>
      <c r="C56" s="188" t="s">
        <v>37</v>
      </c>
      <c r="D56" s="188" t="s">
        <v>40</v>
      </c>
      <c r="E56" s="188" t="s">
        <v>29</v>
      </c>
      <c r="F56" s="37" t="s">
        <v>35</v>
      </c>
      <c r="G56" s="188" t="s">
        <v>33</v>
      </c>
      <c r="H56" s="188">
        <v>2</v>
      </c>
      <c r="I56" s="188">
        <f>LN(B56)</f>
        <v>-4.2686979493668789</v>
      </c>
      <c r="J56" s="188">
        <v>2.8722813232690055E-2</v>
      </c>
      <c r="K56" s="188" t="s">
        <v>31</v>
      </c>
      <c r="L56" s="188" t="s">
        <v>31</v>
      </c>
      <c r="M56" s="188" t="s">
        <v>31</v>
      </c>
      <c r="N56" s="188"/>
      <c r="O56" s="383" t="s">
        <v>241</v>
      </c>
      <c r="P56" s="414">
        <v>1.4E-2</v>
      </c>
      <c r="Q56" s="188" t="s">
        <v>241</v>
      </c>
      <c r="R56" s="392">
        <f>P56</f>
        <v>1.4E-2</v>
      </c>
      <c r="S56" s="188"/>
      <c r="T56" s="188"/>
      <c r="U56" s="188"/>
    </row>
    <row r="57" spans="1:21">
      <c r="A57" s="346" t="s">
        <v>269</v>
      </c>
      <c r="B57" s="350">
        <f>R57</f>
        <v>4.0000000000000001E-3</v>
      </c>
      <c r="C57" s="188" t="s">
        <v>39</v>
      </c>
      <c r="D57" s="188" t="s">
        <v>40</v>
      </c>
      <c r="E57" s="188" t="s">
        <v>29</v>
      </c>
      <c r="F57" s="37" t="s">
        <v>35</v>
      </c>
      <c r="G57" s="188" t="s">
        <v>33</v>
      </c>
      <c r="H57" s="188">
        <v>2</v>
      </c>
      <c r="I57" s="188">
        <f t="shared" ref="I57" si="2">LN(B57)</f>
        <v>-5.521460917862246</v>
      </c>
      <c r="J57" s="188">
        <v>7.2284161474004766E-2</v>
      </c>
      <c r="K57" s="188" t="s">
        <v>31</v>
      </c>
      <c r="L57" s="188" t="s">
        <v>31</v>
      </c>
      <c r="M57" s="188" t="s">
        <v>31</v>
      </c>
      <c r="N57" s="188"/>
      <c r="O57" s="383" t="s">
        <v>248</v>
      </c>
      <c r="P57" s="414">
        <v>4.0000000000000001E-3</v>
      </c>
      <c r="Q57" s="188" t="s">
        <v>248</v>
      </c>
      <c r="R57" s="350">
        <f>P57</f>
        <v>4.0000000000000001E-3</v>
      </c>
      <c r="S57" s="188"/>
      <c r="T57" s="188"/>
      <c r="U57" s="188"/>
    </row>
    <row r="58" spans="1:21">
      <c r="A58" s="370" t="s">
        <v>5</v>
      </c>
      <c r="B58" s="106" t="s">
        <v>1018</v>
      </c>
      <c r="C58" s="372"/>
      <c r="D58" s="353"/>
      <c r="E58" s="353"/>
      <c r="F58" s="353"/>
      <c r="G58" s="353"/>
      <c r="H58" s="353"/>
      <c r="I58" s="353"/>
      <c r="J58" s="353"/>
      <c r="K58" s="353"/>
      <c r="L58" s="353"/>
      <c r="M58" s="353"/>
      <c r="N58" s="188"/>
      <c r="O58" s="188"/>
      <c r="P58" s="188"/>
      <c r="Q58" s="188"/>
      <c r="R58" s="188"/>
      <c r="S58" s="188"/>
      <c r="T58" s="188"/>
      <c r="U58" s="188"/>
    </row>
    <row r="59" spans="1:21">
      <c r="A59" s="346" t="s">
        <v>7</v>
      </c>
      <c r="B59" s="188" t="s">
        <v>786</v>
      </c>
      <c r="C59" s="345"/>
      <c r="D59" s="188"/>
      <c r="E59" s="188"/>
      <c r="F59" s="188"/>
      <c r="G59" s="188"/>
      <c r="H59" s="188"/>
      <c r="I59" s="188"/>
      <c r="J59" s="188"/>
      <c r="K59" s="188"/>
      <c r="L59" s="188"/>
      <c r="M59" s="188"/>
      <c r="N59" s="188"/>
      <c r="O59" s="188"/>
      <c r="P59" s="188"/>
      <c r="Q59" s="188"/>
      <c r="R59" s="188"/>
      <c r="S59" s="188"/>
      <c r="T59" s="188"/>
      <c r="U59" s="188"/>
    </row>
    <row r="60" spans="1:21">
      <c r="A60" s="424" t="s">
        <v>9</v>
      </c>
      <c r="B60" s="188" t="s">
        <v>1020</v>
      </c>
      <c r="C60" s="345"/>
      <c r="D60" s="188"/>
      <c r="E60" s="188"/>
      <c r="F60" s="188"/>
      <c r="G60" s="188"/>
      <c r="H60" s="188"/>
      <c r="I60" s="188"/>
      <c r="J60" s="188"/>
      <c r="K60" s="188"/>
      <c r="L60" s="188"/>
      <c r="M60" s="188"/>
      <c r="N60" s="188"/>
      <c r="O60" s="188"/>
      <c r="P60" s="188"/>
      <c r="Q60" s="188"/>
      <c r="R60" s="188"/>
      <c r="S60" s="188"/>
      <c r="T60" s="188"/>
      <c r="U60" s="188"/>
    </row>
    <row r="61" spans="1:21" ht="27.75" customHeight="1">
      <c r="A61" s="346" t="s">
        <v>11</v>
      </c>
      <c r="B61" s="347" t="s">
        <v>796</v>
      </c>
      <c r="C61" s="188"/>
      <c r="D61" s="188"/>
      <c r="E61" s="188"/>
      <c r="F61" s="188"/>
      <c r="G61" s="188"/>
      <c r="H61" s="188"/>
      <c r="I61" s="188"/>
      <c r="J61" s="188"/>
      <c r="K61" s="188"/>
      <c r="L61" s="188"/>
      <c r="M61" s="188"/>
      <c r="N61" s="188"/>
      <c r="O61" s="188"/>
      <c r="P61" s="188"/>
      <c r="Q61" s="188"/>
      <c r="R61" s="188"/>
      <c r="S61" s="188"/>
      <c r="T61" s="188"/>
      <c r="U61" s="188"/>
    </row>
    <row r="62" spans="1:21">
      <c r="A62" s="346"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46"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46"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46"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43"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43" t="s">
        <v>20</v>
      </c>
      <c r="B67" s="344" t="s">
        <v>21</v>
      </c>
      <c r="C67" s="344" t="s">
        <v>18</v>
      </c>
      <c r="D67" s="344" t="s">
        <v>22</v>
      </c>
      <c r="E67" s="344" t="s">
        <v>7</v>
      </c>
      <c r="F67" s="344" t="s">
        <v>13</v>
      </c>
      <c r="G67" s="344" t="s">
        <v>16</v>
      </c>
      <c r="H67" s="344" t="s">
        <v>23</v>
      </c>
      <c r="I67" s="344" t="s">
        <v>24</v>
      </c>
      <c r="J67" s="344" t="s">
        <v>25</v>
      </c>
      <c r="K67" s="344" t="s">
        <v>26</v>
      </c>
      <c r="L67" s="344" t="s">
        <v>27</v>
      </c>
      <c r="M67" s="344" t="s">
        <v>28</v>
      </c>
      <c r="N67" s="344" t="s">
        <v>11</v>
      </c>
      <c r="O67" s="188"/>
      <c r="P67" s="188"/>
      <c r="Q67" s="188"/>
      <c r="R67" s="188"/>
      <c r="S67" s="188"/>
      <c r="T67" s="188"/>
      <c r="U67" s="188"/>
    </row>
    <row r="68" spans="1:21">
      <c r="A68" s="88" t="s">
        <v>1018</v>
      </c>
      <c r="B68" s="188">
        <v>1</v>
      </c>
      <c r="C68" s="188" t="s">
        <v>18</v>
      </c>
      <c r="D68" s="408" t="s">
        <v>2</v>
      </c>
      <c r="E68" s="188" t="s">
        <v>29</v>
      </c>
      <c r="F68" s="37" t="s">
        <v>14</v>
      </c>
      <c r="G68" s="188" t="s">
        <v>30</v>
      </c>
      <c r="H68" s="188">
        <v>1</v>
      </c>
      <c r="I68" s="415">
        <f t="shared" ref="I68:I70" si="3">B68</f>
        <v>1</v>
      </c>
      <c r="J68" s="188" t="s">
        <v>31</v>
      </c>
      <c r="K68" s="188" t="s">
        <v>31</v>
      </c>
      <c r="L68" s="188" t="s">
        <v>31</v>
      </c>
      <c r="M68" s="188" t="s">
        <v>31</v>
      </c>
      <c r="N68" s="188"/>
      <c r="O68" s="188"/>
      <c r="P68" s="188"/>
      <c r="Q68" s="188"/>
      <c r="R68" s="188"/>
      <c r="S68" s="188"/>
      <c r="T68" s="188"/>
      <c r="U68" s="188"/>
    </row>
    <row r="69" spans="1:21">
      <c r="A69" s="88" t="s">
        <v>1021</v>
      </c>
      <c r="B69" s="392">
        <f>B77</f>
        <v>0.01</v>
      </c>
      <c r="C69" s="188" t="s">
        <v>37</v>
      </c>
      <c r="D69" s="408" t="s">
        <v>2</v>
      </c>
      <c r="E69" s="188" t="s">
        <v>29</v>
      </c>
      <c r="F69" s="37" t="s">
        <v>14</v>
      </c>
      <c r="G69" s="188" t="s">
        <v>33</v>
      </c>
      <c r="H69" s="188">
        <v>1</v>
      </c>
      <c r="I69" s="415">
        <f t="shared" si="3"/>
        <v>0.01</v>
      </c>
      <c r="J69" s="188" t="s">
        <v>31</v>
      </c>
      <c r="K69" s="188" t="s">
        <v>31</v>
      </c>
      <c r="L69" s="188" t="s">
        <v>31</v>
      </c>
      <c r="M69" s="188" t="s">
        <v>31</v>
      </c>
      <c r="N69" s="188"/>
      <c r="O69" s="383"/>
      <c r="P69" s="394"/>
      <c r="Q69" s="188" t="s">
        <v>241</v>
      </c>
      <c r="R69" s="392">
        <v>0.01</v>
      </c>
      <c r="S69" s="188"/>
      <c r="T69" s="188"/>
      <c r="U69" s="188"/>
    </row>
    <row r="70" spans="1:21">
      <c r="A70" s="88" t="s">
        <v>1022</v>
      </c>
      <c r="B70" s="350">
        <v>1</v>
      </c>
      <c r="C70" s="188" t="s">
        <v>18</v>
      </c>
      <c r="D70" s="408" t="s">
        <v>2</v>
      </c>
      <c r="E70" s="188" t="s">
        <v>29</v>
      </c>
      <c r="F70" s="37" t="s">
        <v>14</v>
      </c>
      <c r="G70" s="188" t="s">
        <v>33</v>
      </c>
      <c r="H70" s="188">
        <v>1</v>
      </c>
      <c r="I70" s="415">
        <f t="shared" si="3"/>
        <v>1</v>
      </c>
      <c r="J70" s="188" t="s">
        <v>31</v>
      </c>
      <c r="K70" s="188" t="s">
        <v>31</v>
      </c>
      <c r="L70" s="188" t="s">
        <v>31</v>
      </c>
      <c r="M70" s="188" t="s">
        <v>31</v>
      </c>
      <c r="N70" s="188"/>
      <c r="O70" s="383"/>
      <c r="P70" s="440"/>
      <c r="Q70" s="188"/>
      <c r="R70" s="350"/>
      <c r="S70" s="188"/>
      <c r="T70" s="188"/>
      <c r="U70" s="188"/>
    </row>
    <row r="71" spans="1:21">
      <c r="A71" s="346" t="s">
        <v>269</v>
      </c>
      <c r="B71" s="350">
        <f>R71</f>
        <v>0.05</v>
      </c>
      <c r="C71" s="188" t="s">
        <v>39</v>
      </c>
      <c r="D71" s="188" t="s">
        <v>40</v>
      </c>
      <c r="E71" s="188" t="s">
        <v>29</v>
      </c>
      <c r="F71" s="37" t="s">
        <v>35</v>
      </c>
      <c r="G71" s="188" t="s">
        <v>33</v>
      </c>
      <c r="H71" s="188">
        <v>2</v>
      </c>
      <c r="I71" s="188">
        <f t="shared" ref="I71" si="4">LN(B71)</f>
        <v>-2.9957322735539909</v>
      </c>
      <c r="J71" s="188">
        <v>7.2284161474004766E-2</v>
      </c>
      <c r="K71" s="188" t="s">
        <v>31</v>
      </c>
      <c r="L71" s="188" t="s">
        <v>31</v>
      </c>
      <c r="M71" s="188" t="s">
        <v>31</v>
      </c>
      <c r="N71" s="188"/>
      <c r="O71" s="383" t="s">
        <v>248</v>
      </c>
      <c r="P71" s="440">
        <v>0.05</v>
      </c>
      <c r="Q71" s="188" t="s">
        <v>248</v>
      </c>
      <c r="R71" s="350">
        <f>P71</f>
        <v>0.05</v>
      </c>
      <c r="S71" s="188"/>
      <c r="T71" s="188"/>
      <c r="U71" s="188"/>
    </row>
    <row r="72" spans="1:21">
      <c r="A72" s="370" t="s">
        <v>5</v>
      </c>
      <c r="B72" s="106" t="s">
        <v>1021</v>
      </c>
      <c r="C72" s="372"/>
      <c r="D72" s="353"/>
      <c r="E72" s="353"/>
      <c r="F72" s="353"/>
      <c r="G72" s="353"/>
      <c r="H72" s="353"/>
      <c r="I72" s="353"/>
      <c r="J72" s="353"/>
      <c r="K72" s="353"/>
      <c r="L72" s="353"/>
      <c r="M72" s="353"/>
      <c r="N72" s="188"/>
      <c r="O72" s="188"/>
      <c r="P72" s="188"/>
      <c r="Q72" s="188"/>
      <c r="R72" s="188"/>
      <c r="S72" s="188"/>
      <c r="T72" s="188"/>
      <c r="U72" s="188"/>
    </row>
    <row r="73" spans="1:21">
      <c r="A73" s="346" t="s">
        <v>7</v>
      </c>
      <c r="B73" s="188" t="s">
        <v>786</v>
      </c>
      <c r="C73" s="345"/>
      <c r="D73" s="188"/>
      <c r="E73" s="188"/>
      <c r="F73" s="188"/>
      <c r="G73" s="188"/>
      <c r="H73" s="188"/>
      <c r="I73" s="188"/>
      <c r="J73" s="188"/>
      <c r="K73" s="188"/>
      <c r="L73" s="188"/>
      <c r="M73" s="188"/>
      <c r="N73" s="188"/>
      <c r="O73" s="188"/>
      <c r="P73" s="188"/>
      <c r="Q73" s="188"/>
      <c r="R73" s="188"/>
      <c r="S73" s="188"/>
      <c r="T73" s="188"/>
      <c r="U73" s="188"/>
    </row>
    <row r="74" spans="1:21">
      <c r="A74" s="424" t="s">
        <v>9</v>
      </c>
      <c r="B74" s="188" t="s">
        <v>1023</v>
      </c>
      <c r="C74" s="345"/>
      <c r="D74" s="188"/>
      <c r="E74" s="188"/>
      <c r="F74" s="188"/>
      <c r="G74" s="188"/>
      <c r="H74" s="188"/>
      <c r="I74" s="188"/>
      <c r="J74" s="188"/>
      <c r="K74" s="188"/>
      <c r="L74" s="188"/>
      <c r="M74" s="188"/>
      <c r="N74" s="188"/>
      <c r="O74" s="188"/>
      <c r="P74" s="188"/>
      <c r="Q74" s="188"/>
      <c r="R74" s="188"/>
      <c r="S74" s="188"/>
      <c r="T74" s="188"/>
      <c r="U74" s="188"/>
    </row>
    <row r="75" spans="1:21" ht="15" customHeight="1">
      <c r="A75" s="346" t="s">
        <v>11</v>
      </c>
      <c r="B75" s="347" t="s">
        <v>796</v>
      </c>
      <c r="C75" s="188"/>
      <c r="D75" s="188"/>
      <c r="E75" s="188"/>
      <c r="F75" s="188"/>
      <c r="G75" s="188"/>
      <c r="H75" s="188"/>
      <c r="I75" s="188"/>
      <c r="J75" s="188"/>
      <c r="K75" s="188"/>
      <c r="L75" s="188"/>
      <c r="M75" s="188"/>
      <c r="N75" s="188"/>
      <c r="O75" s="188"/>
      <c r="P75" s="188"/>
      <c r="Q75" s="188"/>
      <c r="R75" s="188"/>
      <c r="S75" s="188"/>
      <c r="T75" s="188"/>
      <c r="U75" s="188"/>
    </row>
    <row r="76" spans="1:21">
      <c r="A76" s="346"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46" t="s">
        <v>15</v>
      </c>
      <c r="B77" s="358">
        <f>B82</f>
        <v>0.01</v>
      </c>
      <c r="C77" s="188"/>
      <c r="D77" s="188"/>
      <c r="E77" s="188"/>
      <c r="F77" s="188"/>
      <c r="G77" s="188"/>
      <c r="H77" s="188"/>
      <c r="I77" s="188"/>
      <c r="J77" s="188"/>
      <c r="K77" s="188"/>
      <c r="L77" s="188"/>
      <c r="M77" s="188"/>
      <c r="N77" s="188"/>
      <c r="O77" s="188"/>
      <c r="P77" s="188"/>
      <c r="Q77" s="188"/>
      <c r="R77" s="188"/>
      <c r="S77" s="188"/>
      <c r="T77" s="188"/>
      <c r="U77" s="188"/>
    </row>
    <row r="78" spans="1:21">
      <c r="A78" s="346"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46"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43"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43" t="s">
        <v>20</v>
      </c>
      <c r="B81" s="344" t="s">
        <v>21</v>
      </c>
      <c r="C81" s="344" t="s">
        <v>18</v>
      </c>
      <c r="D81" s="344" t="s">
        <v>22</v>
      </c>
      <c r="E81" s="344" t="s">
        <v>7</v>
      </c>
      <c r="F81" s="344" t="s">
        <v>13</v>
      </c>
      <c r="G81" s="344" t="s">
        <v>16</v>
      </c>
      <c r="H81" s="344" t="s">
        <v>23</v>
      </c>
      <c r="I81" s="344" t="s">
        <v>24</v>
      </c>
      <c r="J81" s="344" t="s">
        <v>25</v>
      </c>
      <c r="K81" s="344" t="s">
        <v>26</v>
      </c>
      <c r="L81" s="344" t="s">
        <v>27</v>
      </c>
      <c r="M81" s="344" t="s">
        <v>28</v>
      </c>
      <c r="N81" s="344" t="s">
        <v>11</v>
      </c>
      <c r="O81" s="188"/>
      <c r="P81" s="188"/>
      <c r="Q81" s="188"/>
      <c r="R81" s="188"/>
      <c r="S81" s="188"/>
      <c r="T81" s="188"/>
      <c r="U81" s="188"/>
    </row>
    <row r="82" spans="1:21">
      <c r="A82" s="88" t="s">
        <v>1021</v>
      </c>
      <c r="B82" s="358">
        <v>0.01</v>
      </c>
      <c r="C82" s="188" t="s">
        <v>37</v>
      </c>
      <c r="D82" s="408" t="s">
        <v>2</v>
      </c>
      <c r="E82" s="188" t="s">
        <v>29</v>
      </c>
      <c r="F82" s="37" t="s">
        <v>14</v>
      </c>
      <c r="G82" s="188" t="s">
        <v>30</v>
      </c>
      <c r="H82" s="188">
        <v>1</v>
      </c>
      <c r="I82" s="415">
        <f t="shared" ref="I82:I84" si="5">B82</f>
        <v>0.01</v>
      </c>
      <c r="J82" s="188" t="s">
        <v>31</v>
      </c>
      <c r="K82" s="188" t="s">
        <v>31</v>
      </c>
      <c r="L82" s="188" t="s">
        <v>31</v>
      </c>
      <c r="M82" s="188" t="s">
        <v>31</v>
      </c>
      <c r="N82" s="188"/>
      <c r="O82" s="383"/>
      <c r="P82" s="394"/>
      <c r="Q82" s="188" t="s">
        <v>241</v>
      </c>
      <c r="R82" s="392">
        <v>0.01</v>
      </c>
      <c r="S82" s="188"/>
      <c r="T82" s="188"/>
      <c r="U82" s="188"/>
    </row>
    <row r="83" spans="1:21">
      <c r="A83" s="88" t="s">
        <v>653</v>
      </c>
      <c r="B83" s="358">
        <v>0.01</v>
      </c>
      <c r="C83" s="188" t="s">
        <v>37</v>
      </c>
      <c r="D83" s="188" t="s">
        <v>40</v>
      </c>
      <c r="E83" s="188" t="s">
        <v>29</v>
      </c>
      <c r="F83" s="37" t="s">
        <v>59</v>
      </c>
      <c r="G83" s="188" t="s">
        <v>33</v>
      </c>
      <c r="H83" s="188">
        <v>1</v>
      </c>
      <c r="I83" s="415">
        <f t="shared" si="5"/>
        <v>0.01</v>
      </c>
      <c r="J83" s="188" t="s">
        <v>31</v>
      </c>
      <c r="K83" s="188" t="s">
        <v>31</v>
      </c>
      <c r="L83" s="188" t="s">
        <v>31</v>
      </c>
      <c r="M83" s="188" t="s">
        <v>31</v>
      </c>
      <c r="N83" s="188"/>
      <c r="O83" s="383"/>
      <c r="P83" s="440"/>
      <c r="Q83" s="188"/>
      <c r="R83" s="350"/>
      <c r="S83" s="188"/>
      <c r="T83" s="188"/>
      <c r="U83" s="188"/>
    </row>
    <row r="84" spans="1:21">
      <c r="A84" s="88" t="s">
        <v>707</v>
      </c>
      <c r="B84" s="358">
        <v>0.01</v>
      </c>
      <c r="C84" s="188" t="s">
        <v>37</v>
      </c>
      <c r="D84" s="188" t="s">
        <v>40</v>
      </c>
      <c r="E84" s="188" t="s">
        <v>29</v>
      </c>
      <c r="F84" s="188" t="s">
        <v>59</v>
      </c>
      <c r="G84" s="188" t="s">
        <v>33</v>
      </c>
      <c r="H84" s="188">
        <v>1</v>
      </c>
      <c r="I84" s="415">
        <f t="shared" si="5"/>
        <v>0.01</v>
      </c>
      <c r="J84" s="188" t="s">
        <v>31</v>
      </c>
      <c r="K84" s="188" t="s">
        <v>31</v>
      </c>
      <c r="L84" s="188" t="s">
        <v>31</v>
      </c>
      <c r="M84" s="188" t="s">
        <v>31</v>
      </c>
      <c r="N84" s="188"/>
      <c r="O84" s="188"/>
      <c r="P84" s="188"/>
      <c r="Q84" s="188"/>
      <c r="R84" s="188"/>
      <c r="S84" s="188"/>
      <c r="T84" s="188"/>
      <c r="U84" s="188"/>
    </row>
    <row r="85" spans="1:21" s="70" customFormat="1">
      <c r="A85" s="370" t="s">
        <v>5</v>
      </c>
      <c r="B85" s="106" t="s">
        <v>1022</v>
      </c>
      <c r="C85" s="372"/>
      <c r="D85" s="353"/>
      <c r="E85" s="353"/>
      <c r="F85" s="353"/>
      <c r="G85" s="353"/>
      <c r="H85" s="353"/>
      <c r="I85" s="353"/>
      <c r="J85" s="353"/>
      <c r="K85" s="353"/>
      <c r="L85" s="353"/>
      <c r="M85" s="353"/>
      <c r="N85" s="353"/>
      <c r="O85" s="353"/>
      <c r="P85" s="353"/>
      <c r="Q85" s="353"/>
      <c r="R85" s="353"/>
      <c r="S85" s="353"/>
      <c r="T85" s="353"/>
      <c r="U85" s="353"/>
    </row>
    <row r="86" spans="1:21">
      <c r="A86" s="346" t="s">
        <v>7</v>
      </c>
      <c r="B86" s="188" t="s">
        <v>786</v>
      </c>
      <c r="C86" s="345"/>
      <c r="D86" s="188"/>
      <c r="E86" s="188"/>
      <c r="F86" s="188"/>
      <c r="G86" s="188"/>
      <c r="H86" s="188"/>
      <c r="I86" s="188"/>
      <c r="J86" s="188"/>
      <c r="K86" s="188"/>
      <c r="L86" s="188"/>
      <c r="M86" s="188"/>
      <c r="N86" s="188"/>
      <c r="O86" s="188"/>
      <c r="P86" s="188"/>
      <c r="Q86" s="188"/>
      <c r="R86" s="188"/>
      <c r="S86" s="188"/>
      <c r="T86" s="188"/>
      <c r="U86" s="188"/>
    </row>
    <row r="87" spans="1:21">
      <c r="A87" s="424" t="s">
        <v>9</v>
      </c>
      <c r="B87" s="188" t="s">
        <v>1024</v>
      </c>
      <c r="C87" s="345"/>
      <c r="D87" s="188"/>
      <c r="E87" s="188"/>
      <c r="F87" s="188"/>
      <c r="G87" s="188"/>
      <c r="H87" s="188"/>
      <c r="I87" s="188"/>
      <c r="J87" s="188"/>
      <c r="K87" s="188"/>
      <c r="L87" s="188"/>
      <c r="M87" s="188"/>
      <c r="N87" s="188"/>
      <c r="O87" s="188"/>
      <c r="P87" s="188"/>
      <c r="Q87" s="188"/>
      <c r="R87" s="188"/>
      <c r="S87" s="188"/>
      <c r="T87" s="188"/>
      <c r="U87" s="188"/>
    </row>
    <row r="88" spans="1:21" ht="15.75" customHeight="1">
      <c r="A88" s="346" t="s">
        <v>11</v>
      </c>
      <c r="B88" s="347" t="s">
        <v>796</v>
      </c>
      <c r="C88" s="188"/>
      <c r="D88" s="188"/>
      <c r="E88" s="188"/>
      <c r="F88" s="188"/>
      <c r="G88" s="188"/>
      <c r="H88" s="188"/>
      <c r="I88" s="188"/>
      <c r="J88" s="188"/>
      <c r="K88" s="188"/>
      <c r="L88" s="188"/>
      <c r="M88" s="188"/>
      <c r="N88" s="188"/>
      <c r="O88" s="188"/>
      <c r="P88" s="188"/>
      <c r="Q88" s="188"/>
      <c r="R88" s="188"/>
      <c r="S88" s="188"/>
      <c r="T88" s="188"/>
      <c r="U88" s="188"/>
    </row>
    <row r="89" spans="1:21">
      <c r="A89" s="346"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46"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46"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46"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43"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43" t="s">
        <v>20</v>
      </c>
      <c r="B94" s="344" t="s">
        <v>21</v>
      </c>
      <c r="C94" s="344" t="s">
        <v>18</v>
      </c>
      <c r="D94" s="344" t="s">
        <v>22</v>
      </c>
      <c r="E94" s="344" t="s">
        <v>7</v>
      </c>
      <c r="F94" s="344" t="s">
        <v>13</v>
      </c>
      <c r="G94" s="344" t="s">
        <v>16</v>
      </c>
      <c r="H94" s="344" t="s">
        <v>23</v>
      </c>
      <c r="I94" s="344" t="s">
        <v>24</v>
      </c>
      <c r="J94" s="344" t="s">
        <v>25</v>
      </c>
      <c r="K94" s="344" t="s">
        <v>26</v>
      </c>
      <c r="L94" s="344" t="s">
        <v>27</v>
      </c>
      <c r="M94" s="344" t="s">
        <v>28</v>
      </c>
      <c r="N94" s="344" t="s">
        <v>11</v>
      </c>
      <c r="O94" s="188"/>
      <c r="P94" s="188"/>
      <c r="Q94" s="188"/>
      <c r="R94" s="188"/>
      <c r="S94" s="188"/>
      <c r="T94" s="188"/>
      <c r="U94" s="188"/>
    </row>
    <row r="95" spans="1:21">
      <c r="A95" s="88" t="s">
        <v>1022</v>
      </c>
      <c r="B95" s="350">
        <v>1</v>
      </c>
      <c r="C95" s="188" t="s">
        <v>18</v>
      </c>
      <c r="D95" s="408" t="s">
        <v>2</v>
      </c>
      <c r="E95" s="188" t="s">
        <v>29</v>
      </c>
      <c r="F95" s="37" t="s">
        <v>14</v>
      </c>
      <c r="G95" s="188" t="s">
        <v>30</v>
      </c>
      <c r="H95" s="188">
        <v>1</v>
      </c>
      <c r="I95" s="415">
        <f t="shared" ref="I95:I96" si="6">B95</f>
        <v>1</v>
      </c>
      <c r="J95" s="188" t="s">
        <v>31</v>
      </c>
      <c r="K95" s="188" t="s">
        <v>31</v>
      </c>
      <c r="L95" s="188" t="s">
        <v>31</v>
      </c>
      <c r="M95" s="188" t="s">
        <v>31</v>
      </c>
      <c r="N95" s="188"/>
      <c r="O95" s="383"/>
      <c r="P95" s="440"/>
      <c r="Q95" s="188"/>
      <c r="R95" s="350"/>
      <c r="S95" s="188"/>
      <c r="T95" s="188"/>
      <c r="U95" s="188"/>
    </row>
    <row r="96" spans="1:21">
      <c r="A96" s="88" t="s">
        <v>1025</v>
      </c>
      <c r="B96" s="188">
        <v>1</v>
      </c>
      <c r="C96" s="188" t="s">
        <v>18</v>
      </c>
      <c r="D96" s="408" t="s">
        <v>2</v>
      </c>
      <c r="E96" s="188" t="s">
        <v>29</v>
      </c>
      <c r="F96" s="37" t="s">
        <v>14</v>
      </c>
      <c r="G96" s="188" t="s">
        <v>33</v>
      </c>
      <c r="H96" s="188">
        <v>1</v>
      </c>
      <c r="I96" s="415">
        <f t="shared" si="6"/>
        <v>1</v>
      </c>
      <c r="J96" s="188" t="s">
        <v>31</v>
      </c>
      <c r="K96" s="188" t="s">
        <v>31</v>
      </c>
      <c r="L96" s="188" t="s">
        <v>31</v>
      </c>
      <c r="M96" s="188" t="s">
        <v>31</v>
      </c>
      <c r="N96" s="188"/>
      <c r="O96" s="383"/>
      <c r="P96" s="440"/>
      <c r="Q96" s="188"/>
      <c r="R96" s="188"/>
      <c r="S96" s="188"/>
      <c r="T96" s="188"/>
      <c r="U96" s="188"/>
    </row>
    <row r="97" spans="1:21">
      <c r="A97" s="346" t="s">
        <v>269</v>
      </c>
      <c r="B97" s="350">
        <f>R97</f>
        <v>0.05</v>
      </c>
      <c r="C97" s="188" t="s">
        <v>39</v>
      </c>
      <c r="D97" s="188" t="s">
        <v>40</v>
      </c>
      <c r="E97" s="188" t="s">
        <v>29</v>
      </c>
      <c r="F97" s="37" t="s">
        <v>35</v>
      </c>
      <c r="G97" s="188" t="s">
        <v>33</v>
      </c>
      <c r="H97" s="188">
        <v>2</v>
      </c>
      <c r="I97" s="188">
        <f t="shared" ref="I97" si="7">LN(B97)</f>
        <v>-2.9957322735539909</v>
      </c>
      <c r="J97" s="188">
        <v>7.2284161474004766E-2</v>
      </c>
      <c r="K97" s="188" t="s">
        <v>31</v>
      </c>
      <c r="L97" s="188" t="s">
        <v>31</v>
      </c>
      <c r="M97" s="188" t="s">
        <v>31</v>
      </c>
      <c r="N97" s="188"/>
      <c r="O97" s="383" t="s">
        <v>248</v>
      </c>
      <c r="P97" s="440">
        <v>0.05</v>
      </c>
      <c r="Q97" s="188" t="s">
        <v>248</v>
      </c>
      <c r="R97" s="350">
        <f>P97</f>
        <v>0.05</v>
      </c>
      <c r="S97" s="188"/>
      <c r="T97" s="188"/>
      <c r="U97" s="188"/>
    </row>
    <row r="98" spans="1:21" s="70" customFormat="1">
      <c r="A98" s="370" t="s">
        <v>5</v>
      </c>
      <c r="B98" s="106" t="s">
        <v>1025</v>
      </c>
      <c r="C98" s="372"/>
      <c r="D98" s="353"/>
      <c r="E98" s="353"/>
      <c r="F98" s="353"/>
      <c r="G98" s="353"/>
      <c r="H98" s="353"/>
      <c r="I98" s="353"/>
      <c r="J98" s="353"/>
      <c r="K98" s="353"/>
      <c r="L98" s="353"/>
      <c r="M98" s="353"/>
      <c r="N98" s="353"/>
      <c r="O98" s="353"/>
      <c r="P98" s="353"/>
      <c r="Q98" s="353"/>
      <c r="R98" s="353"/>
      <c r="S98" s="353"/>
      <c r="T98" s="353"/>
      <c r="U98" s="353"/>
    </row>
    <row r="99" spans="1:21">
      <c r="A99" s="346" t="s">
        <v>7</v>
      </c>
      <c r="B99" s="188" t="s">
        <v>786</v>
      </c>
      <c r="C99" s="345"/>
      <c r="D99" s="188"/>
      <c r="E99" s="188"/>
      <c r="F99" s="188"/>
      <c r="G99" s="188"/>
      <c r="H99" s="188"/>
      <c r="I99" s="188"/>
      <c r="J99" s="188"/>
      <c r="K99" s="188"/>
      <c r="L99" s="188"/>
      <c r="M99" s="188"/>
      <c r="N99" s="188"/>
      <c r="O99" s="188"/>
      <c r="P99" s="188"/>
      <c r="Q99" s="188"/>
      <c r="R99" s="188"/>
      <c r="S99" s="188"/>
      <c r="T99" s="188"/>
      <c r="U99" s="188"/>
    </row>
    <row r="100" spans="1:21">
      <c r="A100" s="424" t="s">
        <v>9</v>
      </c>
      <c r="B100" s="188" t="s">
        <v>1026</v>
      </c>
      <c r="C100" s="345"/>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46" t="s">
        <v>11</v>
      </c>
      <c r="B101" s="347" t="s">
        <v>796</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46"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46"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46"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46"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43"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43" t="s">
        <v>20</v>
      </c>
      <c r="B107" s="344" t="s">
        <v>21</v>
      </c>
      <c r="C107" s="344" t="s">
        <v>18</v>
      </c>
      <c r="D107" s="344" t="s">
        <v>22</v>
      </c>
      <c r="E107" s="344" t="s">
        <v>7</v>
      </c>
      <c r="F107" s="344" t="s">
        <v>13</v>
      </c>
      <c r="G107" s="344" t="s">
        <v>16</v>
      </c>
      <c r="H107" s="344" t="s">
        <v>23</v>
      </c>
      <c r="I107" s="344" t="s">
        <v>24</v>
      </c>
      <c r="J107" s="344" t="s">
        <v>25</v>
      </c>
      <c r="K107" s="344" t="s">
        <v>26</v>
      </c>
      <c r="L107" s="344" t="s">
        <v>27</v>
      </c>
      <c r="M107" s="344" t="s">
        <v>28</v>
      </c>
      <c r="N107" s="344" t="s">
        <v>11</v>
      </c>
      <c r="O107" s="188"/>
      <c r="P107" s="188"/>
      <c r="Q107" s="188"/>
      <c r="R107" s="188"/>
      <c r="S107" s="188"/>
      <c r="T107" s="188"/>
      <c r="U107" s="188"/>
    </row>
    <row r="108" spans="1:21">
      <c r="A108" s="88" t="s">
        <v>1025</v>
      </c>
      <c r="B108" s="188">
        <v>1</v>
      </c>
      <c r="C108" s="188" t="s">
        <v>18</v>
      </c>
      <c r="D108" s="408" t="s">
        <v>2</v>
      </c>
      <c r="E108" s="188" t="s">
        <v>29</v>
      </c>
      <c r="F108" s="37" t="s">
        <v>14</v>
      </c>
      <c r="G108" s="188" t="s">
        <v>30</v>
      </c>
      <c r="H108" s="188">
        <v>1</v>
      </c>
      <c r="I108" s="415">
        <f t="shared" ref="I108:I111" si="8">B108</f>
        <v>1</v>
      </c>
      <c r="J108" s="188" t="s">
        <v>31</v>
      </c>
      <c r="K108" s="188" t="s">
        <v>31</v>
      </c>
      <c r="L108" s="188" t="s">
        <v>31</v>
      </c>
      <c r="M108" s="188" t="s">
        <v>31</v>
      </c>
      <c r="N108" s="188"/>
      <c r="O108" s="188"/>
      <c r="P108" s="468"/>
      <c r="Q108" s="188"/>
      <c r="R108" s="188"/>
      <c r="S108" s="188"/>
      <c r="T108" s="188"/>
      <c r="U108" s="188"/>
    </row>
    <row r="109" spans="1:21">
      <c r="A109" s="346" t="s">
        <v>1027</v>
      </c>
      <c r="B109" s="441">
        <f>B133</f>
        <v>3.8E-3</v>
      </c>
      <c r="C109" s="188" t="s">
        <v>609</v>
      </c>
      <c r="D109" s="408" t="s">
        <v>2</v>
      </c>
      <c r="E109" s="188" t="s">
        <v>29</v>
      </c>
      <c r="F109" s="37" t="s">
        <v>14</v>
      </c>
      <c r="G109" s="188" t="s">
        <v>33</v>
      </c>
      <c r="H109" s="188">
        <v>1</v>
      </c>
      <c r="I109" s="415">
        <f t="shared" si="8"/>
        <v>3.8E-3</v>
      </c>
      <c r="J109" s="188" t="s">
        <v>31</v>
      </c>
      <c r="K109" s="188" t="s">
        <v>31</v>
      </c>
      <c r="L109" s="188" t="s">
        <v>31</v>
      </c>
      <c r="M109" s="188" t="s">
        <v>31</v>
      </c>
      <c r="N109" s="188"/>
      <c r="O109" s="409"/>
      <c r="P109" s="410"/>
      <c r="Q109" s="350"/>
      <c r="R109" s="188"/>
      <c r="S109" s="188"/>
      <c r="T109" s="188"/>
      <c r="U109" s="188"/>
    </row>
    <row r="110" spans="1:21">
      <c r="A110" s="188" t="s">
        <v>973</v>
      </c>
      <c r="B110" s="392">
        <f>R110</f>
        <v>5.6250000000000007E-4</v>
      </c>
      <c r="C110" s="381" t="s">
        <v>609</v>
      </c>
      <c r="D110" s="408" t="s">
        <v>2</v>
      </c>
      <c r="E110" s="188" t="s">
        <v>29</v>
      </c>
      <c r="F110" s="37" t="s">
        <v>14</v>
      </c>
      <c r="G110" s="188" t="s">
        <v>33</v>
      </c>
      <c r="H110" s="188">
        <v>1</v>
      </c>
      <c r="I110" s="415">
        <f t="shared" si="8"/>
        <v>5.6250000000000007E-4</v>
      </c>
      <c r="J110" s="188" t="s">
        <v>31</v>
      </c>
      <c r="K110" s="188" t="s">
        <v>31</v>
      </c>
      <c r="L110" s="188" t="s">
        <v>31</v>
      </c>
      <c r="M110" s="188" t="s">
        <v>31</v>
      </c>
      <c r="N110" s="188"/>
      <c r="O110" s="442" t="s">
        <v>580</v>
      </c>
      <c r="P110" s="443">
        <v>3</v>
      </c>
      <c r="Q110" s="375" t="s">
        <v>987</v>
      </c>
      <c r="R110" s="392">
        <f>(P110*0.001)*0.1875</f>
        <v>5.6250000000000007E-4</v>
      </c>
      <c r="S110" s="188"/>
      <c r="T110" s="188"/>
      <c r="U110" s="188"/>
    </row>
    <row r="111" spans="1:21">
      <c r="A111" s="188" t="s">
        <v>1028</v>
      </c>
      <c r="B111" s="188">
        <v>1</v>
      </c>
      <c r="C111" s="188" t="s">
        <v>18</v>
      </c>
      <c r="D111" s="408" t="s">
        <v>2</v>
      </c>
      <c r="E111" s="188" t="s">
        <v>29</v>
      </c>
      <c r="F111" s="37" t="s">
        <v>14</v>
      </c>
      <c r="G111" s="188" t="s">
        <v>33</v>
      </c>
      <c r="H111" s="188">
        <v>1</v>
      </c>
      <c r="I111" s="415">
        <f t="shared" si="8"/>
        <v>1</v>
      </c>
      <c r="J111" s="188" t="s">
        <v>31</v>
      </c>
      <c r="K111" s="188" t="s">
        <v>31</v>
      </c>
      <c r="L111" s="188" t="s">
        <v>31</v>
      </c>
      <c r="M111" s="188" t="s">
        <v>31</v>
      </c>
      <c r="N111" s="188"/>
      <c r="O111" s="409"/>
      <c r="P111" s="410"/>
      <c r="Q111" s="188"/>
      <c r="R111" s="188"/>
      <c r="S111" s="188"/>
      <c r="T111" s="188"/>
      <c r="U111" s="188"/>
    </row>
    <row r="112" spans="1:21">
      <c r="A112" s="88" t="s">
        <v>179</v>
      </c>
      <c r="B112" s="392">
        <f>R112</f>
        <v>1.8E-5</v>
      </c>
      <c r="C112" s="188" t="s">
        <v>37</v>
      </c>
      <c r="D112" s="188" t="s">
        <v>40</v>
      </c>
      <c r="E112" s="188" t="s">
        <v>29</v>
      </c>
      <c r="F112" s="37" t="s">
        <v>35</v>
      </c>
      <c r="G112" s="188" t="s">
        <v>33</v>
      </c>
      <c r="H112" s="188">
        <v>2</v>
      </c>
      <c r="I112" s="188">
        <f>LN(B112)</f>
        <v>-10.92513880006811</v>
      </c>
      <c r="J112" s="188">
        <v>2.8722813232690055E-2</v>
      </c>
      <c r="K112" s="188" t="s">
        <v>31</v>
      </c>
      <c r="L112" s="188" t="s">
        <v>31</v>
      </c>
      <c r="M112" s="188" t="s">
        <v>31</v>
      </c>
      <c r="N112" s="188"/>
      <c r="O112" s="442" t="s">
        <v>580</v>
      </c>
      <c r="P112" s="452">
        <v>1.7999999999999999E-2</v>
      </c>
      <c r="Q112" s="188" t="s">
        <v>241</v>
      </c>
      <c r="R112" s="392">
        <f>P112*10^-3</f>
        <v>1.8E-5</v>
      </c>
      <c r="S112" s="188"/>
      <c r="T112" s="188"/>
      <c r="U112" s="188"/>
    </row>
    <row r="113" spans="1:21" s="70" customFormat="1">
      <c r="A113" s="370" t="s">
        <v>5</v>
      </c>
      <c r="B113" s="371" t="s">
        <v>1028</v>
      </c>
      <c r="C113" s="372"/>
      <c r="D113" s="353"/>
      <c r="E113" s="353"/>
      <c r="F113" s="353"/>
      <c r="G113" s="353"/>
      <c r="H113" s="353"/>
      <c r="I113" s="353"/>
      <c r="J113" s="353"/>
      <c r="K113" s="353"/>
      <c r="L113" s="353"/>
      <c r="M113" s="353"/>
      <c r="N113" s="353"/>
      <c r="O113" s="353"/>
      <c r="P113" s="353"/>
      <c r="Q113" s="353"/>
      <c r="R113" s="353"/>
      <c r="S113" s="353"/>
      <c r="T113" s="353"/>
      <c r="U113" s="353"/>
    </row>
    <row r="114" spans="1:21">
      <c r="A114" s="346" t="s">
        <v>7</v>
      </c>
      <c r="B114" s="188" t="s">
        <v>786</v>
      </c>
      <c r="C114" s="345"/>
      <c r="D114" s="188"/>
      <c r="E114" s="188"/>
      <c r="F114" s="188"/>
      <c r="G114" s="188"/>
      <c r="H114" s="188"/>
      <c r="I114" s="188"/>
      <c r="J114" s="188"/>
      <c r="K114" s="188"/>
      <c r="L114" s="188"/>
      <c r="M114" s="188"/>
      <c r="N114" s="188"/>
      <c r="O114" s="188"/>
      <c r="P114" s="188"/>
      <c r="Q114" s="188"/>
      <c r="R114" s="188"/>
      <c r="S114" s="188"/>
      <c r="T114" s="188"/>
      <c r="U114" s="188"/>
    </row>
    <row r="115" spans="1:21">
      <c r="A115" s="424" t="s">
        <v>9</v>
      </c>
      <c r="B115" s="188" t="s">
        <v>1029</v>
      </c>
      <c r="C115" s="345"/>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46" t="s">
        <v>11</v>
      </c>
      <c r="B116" s="347" t="s">
        <v>796</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46"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46"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46"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46"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43"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43" t="s">
        <v>20</v>
      </c>
      <c r="B122" s="344" t="s">
        <v>21</v>
      </c>
      <c r="C122" s="344" t="s">
        <v>18</v>
      </c>
      <c r="D122" s="344" t="s">
        <v>22</v>
      </c>
      <c r="E122" s="344" t="s">
        <v>7</v>
      </c>
      <c r="F122" s="344" t="s">
        <v>13</v>
      </c>
      <c r="G122" s="344" t="s">
        <v>16</v>
      </c>
      <c r="H122" s="344" t="s">
        <v>23</v>
      </c>
      <c r="I122" s="344" t="s">
        <v>24</v>
      </c>
      <c r="J122" s="344" t="s">
        <v>25</v>
      </c>
      <c r="K122" s="344" t="s">
        <v>26</v>
      </c>
      <c r="L122" s="344" t="s">
        <v>27</v>
      </c>
      <c r="M122" s="344" t="s">
        <v>28</v>
      </c>
      <c r="N122" s="344" t="s">
        <v>11</v>
      </c>
      <c r="O122" s="188"/>
      <c r="P122" s="188"/>
      <c r="Q122" s="188"/>
      <c r="R122" s="188"/>
      <c r="S122" s="188"/>
      <c r="T122" s="188"/>
      <c r="U122" s="188"/>
    </row>
    <row r="123" spans="1:21">
      <c r="A123" s="188" t="s">
        <v>1028</v>
      </c>
      <c r="B123" s="188">
        <v>1</v>
      </c>
      <c r="C123" s="188" t="s">
        <v>18</v>
      </c>
      <c r="D123" s="408" t="s">
        <v>2</v>
      </c>
      <c r="E123" s="188" t="s">
        <v>29</v>
      </c>
      <c r="F123" s="37" t="s">
        <v>14</v>
      </c>
      <c r="G123" s="188" t="s">
        <v>30</v>
      </c>
      <c r="H123" s="188">
        <v>1</v>
      </c>
      <c r="I123" s="415">
        <f t="shared" ref="I123:I124" si="9">B123</f>
        <v>1</v>
      </c>
      <c r="J123" s="188" t="s">
        <v>31</v>
      </c>
      <c r="K123" s="188" t="s">
        <v>31</v>
      </c>
      <c r="L123" s="188" t="s">
        <v>31</v>
      </c>
      <c r="M123" s="188" t="s">
        <v>31</v>
      </c>
      <c r="N123" s="188"/>
      <c r="O123" s="188"/>
      <c r="P123" s="188"/>
      <c r="Q123" s="188"/>
      <c r="R123" s="188"/>
      <c r="S123" s="188"/>
      <c r="T123" s="188"/>
      <c r="U123" s="188"/>
    </row>
    <row r="124" spans="1:21">
      <c r="A124" s="88" t="s">
        <v>614</v>
      </c>
      <c r="B124" s="188">
        <f>R124</f>
        <v>0.04</v>
      </c>
      <c r="C124" s="188" t="s">
        <v>37</v>
      </c>
      <c r="D124" s="188" t="s">
        <v>40</v>
      </c>
      <c r="E124" s="188" t="s">
        <v>29</v>
      </c>
      <c r="F124" s="188" t="s">
        <v>59</v>
      </c>
      <c r="G124" s="188" t="s">
        <v>33</v>
      </c>
      <c r="H124" s="188">
        <v>1</v>
      </c>
      <c r="I124" s="415">
        <f t="shared" si="9"/>
        <v>0.04</v>
      </c>
      <c r="J124" s="188" t="s">
        <v>31</v>
      </c>
      <c r="K124" s="188" t="s">
        <v>31</v>
      </c>
      <c r="L124" s="188" t="s">
        <v>31</v>
      </c>
      <c r="M124" s="188" t="s">
        <v>31</v>
      </c>
      <c r="N124" s="188"/>
      <c r="O124" s="188"/>
      <c r="P124" s="188"/>
      <c r="Q124" s="188" t="s">
        <v>241</v>
      </c>
      <c r="R124" s="188">
        <v>0.04</v>
      </c>
      <c r="S124" s="188"/>
      <c r="T124" s="188"/>
      <c r="U124" s="188"/>
    </row>
    <row r="125" spans="1:21">
      <c r="A125" s="88" t="s">
        <v>913</v>
      </c>
      <c r="B125" s="188">
        <f t="shared" ref="B125:B127" si="10">R125</f>
        <v>2.9000000000000001E-2</v>
      </c>
      <c r="C125" s="188" t="s">
        <v>37</v>
      </c>
      <c r="D125" s="188" t="s">
        <v>40</v>
      </c>
      <c r="E125" s="188" t="s">
        <v>29</v>
      </c>
      <c r="F125" s="188" t="s">
        <v>59</v>
      </c>
      <c r="G125" s="188" t="s">
        <v>33</v>
      </c>
      <c r="H125" s="188">
        <v>2</v>
      </c>
      <c r="I125" s="188">
        <f>LN(B125)</f>
        <v>-3.5404594489956631</v>
      </c>
      <c r="J125" s="188">
        <v>3.7749172176353707E-2</v>
      </c>
      <c r="K125" s="188" t="s">
        <v>31</v>
      </c>
      <c r="L125" s="188" t="s">
        <v>31</v>
      </c>
      <c r="M125" s="188" t="s">
        <v>31</v>
      </c>
      <c r="N125" s="188"/>
      <c r="O125" s="401" t="s">
        <v>580</v>
      </c>
      <c r="P125" s="414">
        <v>29</v>
      </c>
      <c r="Q125" s="188" t="s">
        <v>241</v>
      </c>
      <c r="R125" s="188">
        <f>P125*0.001</f>
        <v>2.9000000000000001E-2</v>
      </c>
      <c r="S125" s="188"/>
      <c r="T125" s="188"/>
      <c r="U125" s="188"/>
    </row>
    <row r="126" spans="1:21">
      <c r="A126" s="88" t="s">
        <v>914</v>
      </c>
      <c r="B126" s="188">
        <f t="shared" si="10"/>
        <v>1.8000000000000002E-3</v>
      </c>
      <c r="C126" s="188" t="s">
        <v>37</v>
      </c>
      <c r="D126" s="188" t="s">
        <v>40</v>
      </c>
      <c r="E126" s="188" t="s">
        <v>29</v>
      </c>
      <c r="F126" s="188" t="s">
        <v>59</v>
      </c>
      <c r="G126" s="188" t="s">
        <v>33</v>
      </c>
      <c r="H126" s="188">
        <v>2</v>
      </c>
      <c r="I126" s="188">
        <f>LN(B126)</f>
        <v>-6.3199686140800182</v>
      </c>
      <c r="J126" s="188">
        <v>3.7749172176353707E-2</v>
      </c>
      <c r="K126" s="188" t="s">
        <v>31</v>
      </c>
      <c r="L126" s="188" t="s">
        <v>31</v>
      </c>
      <c r="M126" s="188" t="s">
        <v>31</v>
      </c>
      <c r="N126" s="188"/>
      <c r="O126" s="401" t="s">
        <v>580</v>
      </c>
      <c r="P126" s="414">
        <v>1.8</v>
      </c>
      <c r="Q126" s="188" t="s">
        <v>241</v>
      </c>
      <c r="R126" s="188">
        <f t="shared" ref="R126:R127" si="11">P126*0.001</f>
        <v>1.8000000000000002E-3</v>
      </c>
      <c r="S126" s="188"/>
      <c r="T126" s="188"/>
      <c r="U126" s="188"/>
    </row>
    <row r="127" spans="1:21">
      <c r="A127" s="88" t="s">
        <v>915</v>
      </c>
      <c r="B127" s="188">
        <f t="shared" si="10"/>
        <v>1.3000000000000001E-2</v>
      </c>
      <c r="C127" s="188" t="s">
        <v>37</v>
      </c>
      <c r="D127" s="188" t="s">
        <v>40</v>
      </c>
      <c r="E127" s="188" t="s">
        <v>29</v>
      </c>
      <c r="F127" s="188" t="s">
        <v>59</v>
      </c>
      <c r="G127" s="188" t="s">
        <v>33</v>
      </c>
      <c r="H127" s="188">
        <v>2</v>
      </c>
      <c r="I127" s="188">
        <f>LN(B127)</f>
        <v>-4.3428059215206005</v>
      </c>
      <c r="J127" s="188">
        <v>3.7749172176353707E-2</v>
      </c>
      <c r="K127" s="188" t="s">
        <v>31</v>
      </c>
      <c r="L127" s="188" t="s">
        <v>31</v>
      </c>
      <c r="M127" s="188" t="s">
        <v>31</v>
      </c>
      <c r="N127" s="188"/>
      <c r="O127" s="401" t="s">
        <v>580</v>
      </c>
      <c r="P127" s="414">
        <v>13</v>
      </c>
      <c r="Q127" s="188" t="s">
        <v>241</v>
      </c>
      <c r="R127" s="188">
        <f t="shared" si="11"/>
        <v>1.3000000000000001E-2</v>
      </c>
      <c r="S127" s="188"/>
      <c r="T127" s="188"/>
      <c r="U127" s="188"/>
    </row>
    <row r="128" spans="1:21" s="70" customFormat="1">
      <c r="A128" s="370" t="s">
        <v>5</v>
      </c>
      <c r="B128" s="106" t="s">
        <v>1027</v>
      </c>
      <c r="C128" s="372"/>
      <c r="D128" s="353"/>
      <c r="E128" s="353"/>
      <c r="F128" s="353"/>
      <c r="G128" s="353"/>
      <c r="H128" s="353"/>
      <c r="I128" s="353"/>
      <c r="J128" s="353"/>
      <c r="K128" s="353"/>
      <c r="L128" s="353"/>
      <c r="M128" s="353"/>
      <c r="N128" s="353"/>
      <c r="O128" s="353"/>
      <c r="P128" s="353"/>
      <c r="Q128" s="353"/>
      <c r="R128" s="353"/>
      <c r="S128" s="353"/>
      <c r="T128" s="353"/>
      <c r="U128" s="353"/>
    </row>
    <row r="129" spans="1:21">
      <c r="A129" s="346" t="s">
        <v>7</v>
      </c>
      <c r="B129" s="188" t="s">
        <v>786</v>
      </c>
      <c r="C129" s="345"/>
      <c r="D129" s="188"/>
      <c r="E129" s="188"/>
      <c r="F129" s="188"/>
      <c r="G129" s="188"/>
      <c r="H129" s="188"/>
      <c r="I129" s="188"/>
      <c r="J129" s="188"/>
      <c r="K129" s="188"/>
      <c r="L129" s="188"/>
      <c r="M129" s="188"/>
      <c r="N129" s="188"/>
      <c r="O129" s="188"/>
      <c r="P129" s="188"/>
      <c r="Q129" s="188"/>
      <c r="R129" s="188"/>
      <c r="S129" s="188"/>
      <c r="T129" s="188"/>
      <c r="U129" s="188"/>
    </row>
    <row r="130" spans="1:21">
      <c r="A130" s="424" t="s">
        <v>9</v>
      </c>
      <c r="B130" s="188" t="s">
        <v>1030</v>
      </c>
      <c r="C130" s="345"/>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46" t="s">
        <v>11</v>
      </c>
      <c r="B131" s="347" t="s">
        <v>796</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46"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46" t="s">
        <v>15</v>
      </c>
      <c r="B133" s="425">
        <f>B138</f>
        <v>3.8E-3</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46"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46" t="s">
        <v>18</v>
      </c>
      <c r="B135" s="188" t="s">
        <v>609</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43"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44" t="s">
        <v>20</v>
      </c>
      <c r="B137" s="344" t="s">
        <v>21</v>
      </c>
      <c r="C137" s="344" t="s">
        <v>18</v>
      </c>
      <c r="D137" s="344" t="s">
        <v>22</v>
      </c>
      <c r="E137" s="344" t="s">
        <v>7</v>
      </c>
      <c r="F137" s="344" t="s">
        <v>13</v>
      </c>
      <c r="G137" s="344" t="s">
        <v>16</v>
      </c>
      <c r="H137" s="344" t="s">
        <v>23</v>
      </c>
      <c r="I137" s="344" t="s">
        <v>24</v>
      </c>
      <c r="J137" s="344" t="s">
        <v>25</v>
      </c>
      <c r="K137" s="344" t="s">
        <v>26</v>
      </c>
      <c r="L137" s="344" t="s">
        <v>27</v>
      </c>
      <c r="M137" s="344" t="s">
        <v>28</v>
      </c>
      <c r="N137" s="344" t="s">
        <v>11</v>
      </c>
      <c r="O137" s="188"/>
      <c r="P137" s="188"/>
      <c r="Q137" s="188"/>
      <c r="R137" s="188"/>
      <c r="S137" s="188"/>
      <c r="T137" s="188"/>
      <c r="U137" s="188"/>
    </row>
    <row r="138" spans="1:21">
      <c r="A138" s="188" t="s">
        <v>1027</v>
      </c>
      <c r="B138" s="469">
        <v>3.8E-3</v>
      </c>
      <c r="C138" s="188" t="s">
        <v>609</v>
      </c>
      <c r="D138" s="408" t="s">
        <v>2</v>
      </c>
      <c r="E138" s="188" t="s">
        <v>29</v>
      </c>
      <c r="F138" s="37" t="s">
        <v>14</v>
      </c>
      <c r="G138" s="188" t="s">
        <v>30</v>
      </c>
      <c r="H138" s="188">
        <v>1</v>
      </c>
      <c r="I138" s="415">
        <f t="shared" ref="I138:I139" si="12">B138</f>
        <v>3.8E-3</v>
      </c>
      <c r="J138" s="188" t="s">
        <v>31</v>
      </c>
      <c r="K138" s="188" t="s">
        <v>31</v>
      </c>
      <c r="L138" s="188" t="s">
        <v>31</v>
      </c>
      <c r="M138" s="188" t="s">
        <v>31</v>
      </c>
      <c r="N138" s="188"/>
      <c r="O138" s="409"/>
      <c r="P138" s="470">
        <v>8.8999999999999996E-2</v>
      </c>
      <c r="Q138" s="350"/>
      <c r="R138" s="188"/>
      <c r="S138" s="188"/>
      <c r="T138" s="188"/>
      <c r="U138" s="188"/>
    </row>
    <row r="139" spans="1:21">
      <c r="A139" s="192" t="s">
        <v>1031</v>
      </c>
      <c r="B139" s="469">
        <v>3.8E-3</v>
      </c>
      <c r="C139" s="188" t="s">
        <v>609</v>
      </c>
      <c r="D139" s="408" t="s">
        <v>2</v>
      </c>
      <c r="E139" s="188" t="s">
        <v>29</v>
      </c>
      <c r="F139" s="37" t="s">
        <v>14</v>
      </c>
      <c r="G139" s="188" t="s">
        <v>33</v>
      </c>
      <c r="H139" s="188">
        <v>1</v>
      </c>
      <c r="I139" s="415">
        <f t="shared" si="12"/>
        <v>3.8E-3</v>
      </c>
      <c r="J139" s="188" t="s">
        <v>31</v>
      </c>
      <c r="K139" s="188" t="s">
        <v>31</v>
      </c>
      <c r="L139" s="188" t="s">
        <v>31</v>
      </c>
      <c r="M139" s="188" t="s">
        <v>31</v>
      </c>
      <c r="N139" s="188"/>
      <c r="O139" s="188"/>
      <c r="P139" s="470">
        <v>8.8999999999999996E-2</v>
      </c>
      <c r="Q139" s="188"/>
      <c r="R139" s="188"/>
      <c r="S139" s="188"/>
      <c r="T139" s="188"/>
      <c r="U139" s="188"/>
    </row>
    <row r="140" spans="1:21">
      <c r="A140" s="88" t="s">
        <v>680</v>
      </c>
      <c r="B140" s="188">
        <f>R140</f>
        <v>2.9999999999999997E-4</v>
      </c>
      <c r="C140" s="188" t="s">
        <v>37</v>
      </c>
      <c r="D140" s="188" t="s">
        <v>40</v>
      </c>
      <c r="E140" s="188" t="s">
        <v>29</v>
      </c>
      <c r="F140" s="188" t="s">
        <v>35</v>
      </c>
      <c r="G140" s="188" t="s">
        <v>33</v>
      </c>
      <c r="H140" s="188">
        <v>2</v>
      </c>
      <c r="I140" s="188">
        <f>LN(B140)</f>
        <v>-8.1117280833080727</v>
      </c>
      <c r="J140" s="188">
        <v>0.20928449536456342</v>
      </c>
      <c r="K140" s="188" t="s">
        <v>31</v>
      </c>
      <c r="L140" s="188" t="s">
        <v>31</v>
      </c>
      <c r="M140" s="188" t="s">
        <v>31</v>
      </c>
      <c r="N140" s="188"/>
      <c r="O140" s="401" t="s">
        <v>580</v>
      </c>
      <c r="P140" s="414">
        <v>0.3</v>
      </c>
      <c r="Q140" s="188" t="s">
        <v>241</v>
      </c>
      <c r="R140" s="188">
        <f>0.001*P140</f>
        <v>2.9999999999999997E-4</v>
      </c>
      <c r="S140" s="188"/>
      <c r="T140" s="188"/>
      <c r="U140" s="188"/>
    </row>
    <row r="141" spans="1:21">
      <c r="A141" s="88" t="s">
        <v>545</v>
      </c>
      <c r="B141" s="188">
        <f>R141</f>
        <v>2.9999999999999997E-4</v>
      </c>
      <c r="C141" s="188" t="s">
        <v>37</v>
      </c>
      <c r="D141" s="188" t="s">
        <v>40</v>
      </c>
      <c r="E141" s="188" t="s">
        <v>29</v>
      </c>
      <c r="F141" s="188" t="s">
        <v>35</v>
      </c>
      <c r="G141" s="188" t="s">
        <v>33</v>
      </c>
      <c r="H141" s="188">
        <v>2</v>
      </c>
      <c r="I141" s="188">
        <f>LN(B141)</f>
        <v>-8.1117280833080727</v>
      </c>
      <c r="J141" s="188">
        <v>0.20928449536456342</v>
      </c>
      <c r="K141" s="188" t="s">
        <v>31</v>
      </c>
      <c r="L141" s="188" t="s">
        <v>31</v>
      </c>
      <c r="M141" s="188" t="s">
        <v>31</v>
      </c>
      <c r="N141" s="188"/>
      <c r="O141" s="401" t="s">
        <v>580</v>
      </c>
      <c r="P141" s="414">
        <v>0.3</v>
      </c>
      <c r="Q141" s="188" t="s">
        <v>241</v>
      </c>
      <c r="R141" s="188">
        <f>0.001*P141</f>
        <v>2.9999999999999997E-4</v>
      </c>
      <c r="S141" s="188"/>
      <c r="T141" s="188"/>
      <c r="U141" s="188"/>
    </row>
    <row r="142" spans="1:21" s="70" customFormat="1">
      <c r="A142" s="370" t="s">
        <v>5</v>
      </c>
      <c r="B142" s="446" t="s">
        <v>1031</v>
      </c>
      <c r="C142" s="372"/>
      <c r="D142" s="353"/>
      <c r="E142" s="353"/>
      <c r="F142" s="353"/>
      <c r="G142" s="353"/>
      <c r="H142" s="353"/>
      <c r="I142" s="353"/>
      <c r="J142" s="353"/>
      <c r="K142" s="353"/>
      <c r="L142" s="353"/>
      <c r="M142" s="353"/>
      <c r="N142" s="353"/>
      <c r="O142" s="353"/>
      <c r="P142" s="353"/>
      <c r="Q142" s="353"/>
      <c r="R142" s="353"/>
      <c r="S142" s="353"/>
      <c r="T142" s="353"/>
      <c r="U142" s="353"/>
    </row>
    <row r="143" spans="1:21">
      <c r="A143" s="346" t="s">
        <v>7</v>
      </c>
      <c r="B143" s="188" t="s">
        <v>786</v>
      </c>
      <c r="C143" s="345"/>
      <c r="D143" s="188"/>
      <c r="E143" s="188"/>
      <c r="F143" s="188"/>
      <c r="G143" s="188"/>
      <c r="H143" s="188"/>
      <c r="I143" s="188"/>
      <c r="J143" s="188"/>
      <c r="K143" s="188"/>
      <c r="L143" s="188"/>
      <c r="M143" s="188"/>
      <c r="N143" s="188"/>
      <c r="O143" s="188"/>
      <c r="P143" s="188"/>
      <c r="Q143" s="188"/>
      <c r="R143" s="188"/>
      <c r="S143" s="188"/>
      <c r="T143" s="188"/>
      <c r="U143" s="188"/>
    </row>
    <row r="144" spans="1:21">
      <c r="A144" s="424" t="s">
        <v>9</v>
      </c>
      <c r="B144" s="188" t="s">
        <v>1032</v>
      </c>
      <c r="C144" s="345"/>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46" t="s">
        <v>11</v>
      </c>
      <c r="B145" s="347" t="s">
        <v>796</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46"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46" t="s">
        <v>15</v>
      </c>
      <c r="B147" s="425">
        <f>B152</f>
        <v>3.8E-3</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46"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46" t="s">
        <v>18</v>
      </c>
      <c r="B149" s="188" t="s">
        <v>609</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43"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44" t="s">
        <v>20</v>
      </c>
      <c r="B151" s="344" t="s">
        <v>21</v>
      </c>
      <c r="C151" s="344" t="s">
        <v>18</v>
      </c>
      <c r="D151" s="344" t="s">
        <v>22</v>
      </c>
      <c r="E151" s="344" t="s">
        <v>7</v>
      </c>
      <c r="F151" s="344" t="s">
        <v>13</v>
      </c>
      <c r="G151" s="344" t="s">
        <v>16</v>
      </c>
      <c r="H151" s="344" t="s">
        <v>23</v>
      </c>
      <c r="I151" s="344" t="s">
        <v>24</v>
      </c>
      <c r="J151" s="344" t="s">
        <v>25</v>
      </c>
      <c r="K151" s="344" t="s">
        <v>26</v>
      </c>
      <c r="L151" s="344" t="s">
        <v>27</v>
      </c>
      <c r="M151" s="344" t="s">
        <v>28</v>
      </c>
      <c r="N151" s="344" t="s">
        <v>11</v>
      </c>
      <c r="O151" s="188"/>
      <c r="P151" s="188"/>
      <c r="Q151" s="188"/>
      <c r="R151" s="188"/>
      <c r="S151" s="188"/>
      <c r="T151" s="188"/>
      <c r="U151" s="188"/>
    </row>
    <row r="152" spans="1:21">
      <c r="A152" s="192" t="s">
        <v>1031</v>
      </c>
      <c r="B152" s="469">
        <v>3.8E-3</v>
      </c>
      <c r="C152" s="188" t="s">
        <v>609</v>
      </c>
      <c r="D152" s="408" t="s">
        <v>2</v>
      </c>
      <c r="E152" s="188" t="s">
        <v>29</v>
      </c>
      <c r="F152" s="37" t="s">
        <v>14</v>
      </c>
      <c r="G152" s="188" t="s">
        <v>30</v>
      </c>
      <c r="H152" s="188">
        <v>1</v>
      </c>
      <c r="I152" s="415">
        <f t="shared" ref="I152:I154" si="13">B152</f>
        <v>3.8E-3</v>
      </c>
      <c r="J152" s="188" t="s">
        <v>31</v>
      </c>
      <c r="K152" s="188" t="s">
        <v>31</v>
      </c>
      <c r="L152" s="188" t="s">
        <v>31</v>
      </c>
      <c r="M152" s="188" t="s">
        <v>31</v>
      </c>
      <c r="N152" s="188"/>
      <c r="O152" s="471" t="s">
        <v>610</v>
      </c>
      <c r="P152" s="469">
        <v>8.8999999999999996E-2</v>
      </c>
      <c r="Q152" s="188"/>
      <c r="R152" s="188"/>
      <c r="S152" s="188"/>
      <c r="T152" s="188"/>
      <c r="U152" s="188"/>
    </row>
    <row r="153" spans="1:21">
      <c r="A153" s="188" t="s">
        <v>1033</v>
      </c>
      <c r="B153" s="472">
        <v>1.4E-3</v>
      </c>
      <c r="C153" s="188" t="s">
        <v>609</v>
      </c>
      <c r="D153" s="408" t="s">
        <v>2</v>
      </c>
      <c r="E153" s="188" t="s">
        <v>29</v>
      </c>
      <c r="F153" s="37" t="s">
        <v>14</v>
      </c>
      <c r="G153" s="188" t="s">
        <v>33</v>
      </c>
      <c r="H153" s="188">
        <v>1</v>
      </c>
      <c r="I153" s="415">
        <f t="shared" si="13"/>
        <v>1.4E-3</v>
      </c>
      <c r="J153" s="188" t="s">
        <v>31</v>
      </c>
      <c r="K153" s="188" t="s">
        <v>31</v>
      </c>
      <c r="L153" s="188" t="s">
        <v>31</v>
      </c>
      <c r="M153" s="188" t="s">
        <v>31</v>
      </c>
      <c r="N153" s="188"/>
      <c r="O153" s="471" t="s">
        <v>823</v>
      </c>
      <c r="P153" s="472">
        <v>3.6999999999999998E-2</v>
      </c>
      <c r="Q153" s="188"/>
      <c r="R153" s="188"/>
      <c r="S153" s="188"/>
      <c r="T153" s="188"/>
      <c r="U153" s="188"/>
    </row>
    <row r="154" spans="1:21">
      <c r="A154" s="188" t="s">
        <v>1034</v>
      </c>
      <c r="B154" s="469">
        <v>3.8E-3</v>
      </c>
      <c r="C154" s="188" t="s">
        <v>609</v>
      </c>
      <c r="D154" s="408" t="s">
        <v>2</v>
      </c>
      <c r="E154" s="188" t="s">
        <v>29</v>
      </c>
      <c r="F154" s="37" t="s">
        <v>14</v>
      </c>
      <c r="G154" s="188" t="s">
        <v>33</v>
      </c>
      <c r="H154" s="188">
        <v>1</v>
      </c>
      <c r="I154" s="415">
        <f t="shared" si="13"/>
        <v>3.8E-3</v>
      </c>
      <c r="J154" s="188" t="s">
        <v>31</v>
      </c>
      <c r="K154" s="188" t="s">
        <v>31</v>
      </c>
      <c r="L154" s="188" t="s">
        <v>31</v>
      </c>
      <c r="M154" s="188" t="s">
        <v>31</v>
      </c>
      <c r="N154" s="188"/>
      <c r="O154" s="400" t="s">
        <v>823</v>
      </c>
      <c r="P154" s="469">
        <v>8.8999999999999996E-2</v>
      </c>
      <c r="Q154" s="188"/>
      <c r="R154" s="188"/>
      <c r="S154" s="188"/>
      <c r="T154" s="188"/>
      <c r="U154" s="188"/>
    </row>
    <row r="155" spans="1:21">
      <c r="A155" s="346" t="s">
        <v>269</v>
      </c>
      <c r="B155" s="445">
        <f t="shared" ref="B155:B156" si="14">P155</f>
        <v>0.09</v>
      </c>
      <c r="C155" s="188" t="s">
        <v>39</v>
      </c>
      <c r="D155" s="188" t="s">
        <v>40</v>
      </c>
      <c r="E155" s="188" t="s">
        <v>29</v>
      </c>
      <c r="F155" s="37" t="s">
        <v>35</v>
      </c>
      <c r="G155" s="188" t="s">
        <v>33</v>
      </c>
      <c r="H155" s="188">
        <v>2</v>
      </c>
      <c r="I155" s="188">
        <f t="shared" ref="I155:I156" si="15">LN(B155)</f>
        <v>-2.4079456086518722</v>
      </c>
      <c r="J155" s="188">
        <v>9.7082439194738052E-2</v>
      </c>
      <c r="K155" s="188" t="s">
        <v>31</v>
      </c>
      <c r="L155" s="188" t="s">
        <v>31</v>
      </c>
      <c r="M155" s="188" t="s">
        <v>31</v>
      </c>
      <c r="N155" s="188"/>
      <c r="O155" s="401" t="s">
        <v>248</v>
      </c>
      <c r="P155" s="414">
        <v>0.09</v>
      </c>
      <c r="Q155" s="188" t="s">
        <v>248</v>
      </c>
      <c r="R155" s="350">
        <f>P155</f>
        <v>0.09</v>
      </c>
      <c r="S155" s="188"/>
      <c r="T155" s="188"/>
      <c r="U155" s="188"/>
    </row>
    <row r="156" spans="1:21">
      <c r="A156" s="346" t="s">
        <v>202</v>
      </c>
      <c r="B156" s="445">
        <f t="shared" si="14"/>
        <v>0.2</v>
      </c>
      <c r="C156" s="188" t="s">
        <v>37</v>
      </c>
      <c r="D156" s="188" t="s">
        <v>40</v>
      </c>
      <c r="E156" s="188" t="s">
        <v>29</v>
      </c>
      <c r="F156" s="37" t="s">
        <v>35</v>
      </c>
      <c r="G156" s="188" t="s">
        <v>33</v>
      </c>
      <c r="H156" s="188">
        <v>2</v>
      </c>
      <c r="I156" s="188">
        <f t="shared" si="15"/>
        <v>-1.6094379124341003</v>
      </c>
      <c r="J156" s="188">
        <v>9.7082439194738052E-2</v>
      </c>
      <c r="K156" s="188" t="s">
        <v>31</v>
      </c>
      <c r="L156" s="188" t="s">
        <v>31</v>
      </c>
      <c r="M156" s="188" t="s">
        <v>31</v>
      </c>
      <c r="N156" s="188"/>
      <c r="O156" s="401" t="s">
        <v>241</v>
      </c>
      <c r="P156" s="414">
        <v>0.2</v>
      </c>
      <c r="Q156" s="188"/>
      <c r="R156" s="188"/>
      <c r="S156" s="188"/>
      <c r="T156" s="188"/>
      <c r="U156" s="188"/>
    </row>
    <row r="157" spans="1:21" s="70" customFormat="1">
      <c r="A157" s="370" t="s">
        <v>5</v>
      </c>
      <c r="B157" s="371" t="s">
        <v>1034</v>
      </c>
      <c r="C157" s="372"/>
      <c r="D157" s="353"/>
      <c r="E157" s="353"/>
      <c r="F157" s="353"/>
      <c r="G157" s="353"/>
      <c r="H157" s="353"/>
      <c r="I157" s="353"/>
      <c r="J157" s="353"/>
      <c r="K157" s="353"/>
      <c r="L157" s="353"/>
      <c r="M157" s="353"/>
      <c r="N157" s="353"/>
      <c r="O157" s="353"/>
      <c r="P157" s="353"/>
      <c r="Q157" s="353"/>
      <c r="R157" s="353"/>
      <c r="S157" s="353"/>
      <c r="T157" s="353"/>
      <c r="U157" s="353"/>
    </row>
    <row r="158" spans="1:21">
      <c r="A158" s="346" t="s">
        <v>7</v>
      </c>
      <c r="B158" s="188" t="s">
        <v>786</v>
      </c>
      <c r="C158" s="345"/>
      <c r="D158" s="188"/>
      <c r="E158" s="188"/>
      <c r="F158" s="188"/>
      <c r="G158" s="188"/>
      <c r="H158" s="188"/>
      <c r="I158" s="188"/>
      <c r="J158" s="188"/>
      <c r="K158" s="188"/>
      <c r="L158" s="188"/>
      <c r="M158" s="188"/>
      <c r="N158" s="188"/>
      <c r="O158" s="188"/>
      <c r="P158" s="188"/>
      <c r="Q158" s="188"/>
      <c r="R158" s="188"/>
      <c r="S158" s="188"/>
      <c r="T158" s="188"/>
      <c r="U158" s="188"/>
    </row>
    <row r="159" spans="1:21">
      <c r="A159" s="424" t="s">
        <v>9</v>
      </c>
      <c r="B159" s="188" t="s">
        <v>1035</v>
      </c>
      <c r="C159" s="345"/>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46" t="s">
        <v>11</v>
      </c>
      <c r="B160" s="347" t="s">
        <v>796</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46"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46" t="s">
        <v>15</v>
      </c>
      <c r="B162" s="445">
        <f>B167</f>
        <v>1.4E-3</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46"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46" t="s">
        <v>18</v>
      </c>
      <c r="B164" s="188" t="s">
        <v>609</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43"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44" t="s">
        <v>20</v>
      </c>
      <c r="B166" s="344" t="s">
        <v>21</v>
      </c>
      <c r="C166" s="344" t="s">
        <v>18</v>
      </c>
      <c r="D166" s="344" t="s">
        <v>22</v>
      </c>
      <c r="E166" s="344" t="s">
        <v>7</v>
      </c>
      <c r="F166" s="344" t="s">
        <v>13</v>
      </c>
      <c r="G166" s="344" t="s">
        <v>16</v>
      </c>
      <c r="H166" s="344" t="s">
        <v>23</v>
      </c>
      <c r="I166" s="344" t="s">
        <v>24</v>
      </c>
      <c r="J166" s="344" t="s">
        <v>25</v>
      </c>
      <c r="K166" s="344" t="s">
        <v>26</v>
      </c>
      <c r="L166" s="344" t="s">
        <v>27</v>
      </c>
      <c r="M166" s="344" t="s">
        <v>28</v>
      </c>
      <c r="N166" s="344" t="s">
        <v>11</v>
      </c>
      <c r="O166" s="188"/>
      <c r="P166" s="188"/>
      <c r="Q166" s="188"/>
      <c r="R166" s="188"/>
      <c r="S166" s="188"/>
      <c r="T166" s="188"/>
      <c r="U166" s="188"/>
    </row>
    <row r="167" spans="1:21">
      <c r="A167" s="188" t="s">
        <v>1034</v>
      </c>
      <c r="B167" s="470">
        <v>1.4E-3</v>
      </c>
      <c r="C167" s="188" t="s">
        <v>609</v>
      </c>
      <c r="D167" s="408" t="s">
        <v>2</v>
      </c>
      <c r="E167" s="188" t="s">
        <v>29</v>
      </c>
      <c r="F167" s="37" t="s">
        <v>14</v>
      </c>
      <c r="G167" s="188" t="s">
        <v>30</v>
      </c>
      <c r="H167" s="188">
        <v>1</v>
      </c>
      <c r="I167" s="415">
        <f t="shared" ref="I167:I168" si="16">B167</f>
        <v>1.4E-3</v>
      </c>
      <c r="J167" s="188" t="s">
        <v>31</v>
      </c>
      <c r="K167" s="188" t="s">
        <v>31</v>
      </c>
      <c r="L167" s="188" t="s">
        <v>31</v>
      </c>
      <c r="M167" s="188" t="s">
        <v>31</v>
      </c>
      <c r="N167" s="188"/>
      <c r="O167" s="188"/>
      <c r="P167" s="454">
        <v>8.8999999999999996E-2</v>
      </c>
      <c r="Q167" s="188"/>
      <c r="R167" s="188"/>
      <c r="S167" s="188"/>
      <c r="T167" s="188"/>
      <c r="U167" s="188"/>
    </row>
    <row r="168" spans="1:21">
      <c r="A168" s="192" t="s">
        <v>1036</v>
      </c>
      <c r="B168" s="470">
        <v>1.4E-3</v>
      </c>
      <c r="C168" s="188" t="s">
        <v>609</v>
      </c>
      <c r="D168" s="408" t="s">
        <v>2</v>
      </c>
      <c r="E168" s="188" t="s">
        <v>29</v>
      </c>
      <c r="F168" s="37" t="s">
        <v>14</v>
      </c>
      <c r="G168" s="188" t="s">
        <v>33</v>
      </c>
      <c r="H168" s="188">
        <v>1</v>
      </c>
      <c r="I168" s="415">
        <f t="shared" si="16"/>
        <v>1.4E-3</v>
      </c>
      <c r="J168" s="188" t="s">
        <v>31</v>
      </c>
      <c r="K168" s="188" t="s">
        <v>31</v>
      </c>
      <c r="L168" s="188" t="s">
        <v>31</v>
      </c>
      <c r="M168" s="188" t="s">
        <v>31</v>
      </c>
      <c r="N168" s="188"/>
      <c r="O168" s="188"/>
      <c r="P168" s="454">
        <v>8.8999999999999996E-2</v>
      </c>
      <c r="Q168" s="188"/>
      <c r="R168" s="188"/>
      <c r="S168" s="188"/>
      <c r="T168" s="188"/>
      <c r="U168" s="188"/>
    </row>
    <row r="169" spans="1:21">
      <c r="A169" s="346" t="s">
        <v>269</v>
      </c>
      <c r="B169" s="350">
        <f>R169</f>
        <v>0.01</v>
      </c>
      <c r="C169" s="188" t="s">
        <v>39</v>
      </c>
      <c r="D169" s="188" t="s">
        <v>40</v>
      </c>
      <c r="E169" s="188" t="s">
        <v>29</v>
      </c>
      <c r="F169" s="37" t="s">
        <v>35</v>
      </c>
      <c r="G169" s="188" t="s">
        <v>33</v>
      </c>
      <c r="H169" s="188">
        <v>2</v>
      </c>
      <c r="I169" s="188">
        <f t="shared" ref="I169:I173" si="17">LN(B169)</f>
        <v>-4.6051701859880909</v>
      </c>
      <c r="J169" s="188">
        <v>0.20928449536456342</v>
      </c>
      <c r="K169" s="188" t="s">
        <v>31</v>
      </c>
      <c r="L169" s="188" t="s">
        <v>31</v>
      </c>
      <c r="M169" s="188" t="s">
        <v>31</v>
      </c>
      <c r="N169" s="188"/>
      <c r="O169" s="383" t="s">
        <v>248</v>
      </c>
      <c r="P169" s="414">
        <v>0.01</v>
      </c>
      <c r="Q169" s="188" t="s">
        <v>248</v>
      </c>
      <c r="R169" s="350">
        <f>P169</f>
        <v>0.01</v>
      </c>
      <c r="S169" s="188"/>
      <c r="T169" s="188"/>
      <c r="U169" s="188"/>
    </row>
    <row r="170" spans="1:21">
      <c r="A170" s="88" t="s">
        <v>798</v>
      </c>
      <c r="B170" s="188">
        <f>R170</f>
        <v>2.9999999999999997E-4</v>
      </c>
      <c r="C170" s="188" t="s">
        <v>37</v>
      </c>
      <c r="D170" s="188" t="s">
        <v>40</v>
      </c>
      <c r="E170" s="188" t="s">
        <v>29</v>
      </c>
      <c r="F170" s="37" t="s">
        <v>35</v>
      </c>
      <c r="G170" s="188" t="s">
        <v>33</v>
      </c>
      <c r="H170" s="188">
        <v>2</v>
      </c>
      <c r="I170" s="188">
        <f t="shared" si="17"/>
        <v>-8.1117280833080727</v>
      </c>
      <c r="J170" s="188">
        <v>0.20928449536456342</v>
      </c>
      <c r="K170" s="188" t="s">
        <v>31</v>
      </c>
      <c r="L170" s="188" t="s">
        <v>31</v>
      </c>
      <c r="M170" s="188" t="s">
        <v>31</v>
      </c>
      <c r="N170" s="188"/>
      <c r="O170" s="401" t="s">
        <v>580</v>
      </c>
      <c r="P170" s="414">
        <v>0.3</v>
      </c>
      <c r="Q170" s="188" t="s">
        <v>241</v>
      </c>
      <c r="R170" s="188">
        <f>0.001*P170</f>
        <v>2.9999999999999997E-4</v>
      </c>
      <c r="S170" s="188"/>
      <c r="T170" s="188"/>
      <c r="U170" s="188"/>
    </row>
    <row r="171" spans="1:21">
      <c r="A171" s="88" t="s">
        <v>308</v>
      </c>
      <c r="B171" s="188">
        <f>R171</f>
        <v>1E-4</v>
      </c>
      <c r="C171" s="188" t="s">
        <v>37</v>
      </c>
      <c r="D171" s="188" t="s">
        <v>40</v>
      </c>
      <c r="E171" s="188" t="s">
        <v>29</v>
      </c>
      <c r="F171" s="37" t="s">
        <v>59</v>
      </c>
      <c r="G171" s="188" t="s">
        <v>33</v>
      </c>
      <c r="H171" s="188">
        <v>2</v>
      </c>
      <c r="I171" s="188">
        <f t="shared" si="17"/>
        <v>-9.2103403719761818</v>
      </c>
      <c r="J171" s="188">
        <v>0.20928449536456342</v>
      </c>
      <c r="K171" s="188" t="s">
        <v>31</v>
      </c>
      <c r="L171" s="188" t="s">
        <v>31</v>
      </c>
      <c r="M171" s="188" t="s">
        <v>31</v>
      </c>
      <c r="N171" s="188"/>
      <c r="O171" s="401" t="s">
        <v>580</v>
      </c>
      <c r="P171" s="414">
        <v>0.1</v>
      </c>
      <c r="Q171" s="188" t="s">
        <v>241</v>
      </c>
      <c r="R171" s="188">
        <f t="shared" ref="R171:R173" si="18">0.001*P171</f>
        <v>1E-4</v>
      </c>
      <c r="S171" s="188"/>
      <c r="T171" s="188"/>
      <c r="U171" s="188"/>
    </row>
    <row r="172" spans="1:21">
      <c r="A172" s="346" t="s">
        <v>799</v>
      </c>
      <c r="B172" s="188">
        <f>R172</f>
        <v>1.6999999999999999E-3</v>
      </c>
      <c r="C172" s="188" t="s">
        <v>37</v>
      </c>
      <c r="D172" s="188" t="s">
        <v>40</v>
      </c>
      <c r="E172" s="188" t="s">
        <v>29</v>
      </c>
      <c r="F172" s="37" t="s">
        <v>74</v>
      </c>
      <c r="G172" s="188" t="s">
        <v>33</v>
      </c>
      <c r="H172" s="188">
        <v>2</v>
      </c>
      <c r="I172" s="188">
        <f t="shared" si="17"/>
        <v>-6.3771270279199666</v>
      </c>
      <c r="J172" s="188">
        <v>0.20928449536456342</v>
      </c>
      <c r="K172" s="188" t="s">
        <v>31</v>
      </c>
      <c r="L172" s="188" t="s">
        <v>31</v>
      </c>
      <c r="M172" s="188" t="s">
        <v>31</v>
      </c>
      <c r="N172" s="188"/>
      <c r="O172" s="401" t="s">
        <v>580</v>
      </c>
      <c r="P172" s="414">
        <v>1.7</v>
      </c>
      <c r="Q172" s="188" t="s">
        <v>241</v>
      </c>
      <c r="R172" s="188">
        <f t="shared" si="18"/>
        <v>1.6999999999999999E-3</v>
      </c>
      <c r="S172" s="188"/>
      <c r="T172" s="188"/>
      <c r="U172" s="188"/>
    </row>
    <row r="173" spans="1:21">
      <c r="A173" s="188" t="s">
        <v>784</v>
      </c>
      <c r="B173" s="188">
        <f>R173</f>
        <v>4.0000000000000002E-4</v>
      </c>
      <c r="C173" s="188" t="s">
        <v>37</v>
      </c>
      <c r="D173" s="408" t="s">
        <v>2</v>
      </c>
      <c r="E173" s="188" t="s">
        <v>29</v>
      </c>
      <c r="F173" s="37" t="s">
        <v>74</v>
      </c>
      <c r="G173" s="188" t="s">
        <v>33</v>
      </c>
      <c r="H173" s="188">
        <v>2</v>
      </c>
      <c r="I173" s="188">
        <f t="shared" si="17"/>
        <v>-7.8240460108562919</v>
      </c>
      <c r="J173" s="188">
        <v>0.20928449536456342</v>
      </c>
      <c r="K173" s="188" t="s">
        <v>31</v>
      </c>
      <c r="L173" s="188" t="s">
        <v>31</v>
      </c>
      <c r="M173" s="188" t="s">
        <v>31</v>
      </c>
      <c r="N173" s="188"/>
      <c r="O173" s="447" t="s">
        <v>580</v>
      </c>
      <c r="P173" s="419">
        <v>0.4</v>
      </c>
      <c r="Q173" s="188" t="s">
        <v>241</v>
      </c>
      <c r="R173" s="188">
        <f t="shared" si="18"/>
        <v>4.0000000000000002E-4</v>
      </c>
      <c r="S173" s="188"/>
      <c r="T173" s="188"/>
      <c r="U173" s="188"/>
    </row>
    <row r="174" spans="1:21" s="70" customFormat="1">
      <c r="A174" s="370" t="s">
        <v>5</v>
      </c>
      <c r="B174" s="371" t="s">
        <v>1036</v>
      </c>
      <c r="C174" s="372"/>
      <c r="D174" s="353"/>
      <c r="E174" s="353"/>
      <c r="F174" s="353"/>
      <c r="G174" s="353"/>
      <c r="H174" s="353"/>
      <c r="I174" s="353"/>
      <c r="J174" s="353"/>
      <c r="K174" s="353"/>
      <c r="L174" s="353"/>
      <c r="M174" s="353"/>
      <c r="N174" s="353"/>
      <c r="O174" s="353"/>
      <c r="P174" s="353"/>
      <c r="Q174" s="353"/>
      <c r="R174" s="353"/>
      <c r="S174" s="353"/>
      <c r="T174" s="353"/>
      <c r="U174" s="353"/>
    </row>
    <row r="175" spans="1:21">
      <c r="A175" s="346" t="s">
        <v>7</v>
      </c>
      <c r="B175" s="188" t="s">
        <v>786</v>
      </c>
      <c r="C175" s="345"/>
      <c r="D175" s="188"/>
      <c r="E175" s="188"/>
      <c r="F175" s="188"/>
      <c r="G175" s="188"/>
      <c r="H175" s="188"/>
      <c r="I175" s="188"/>
      <c r="J175" s="188"/>
      <c r="K175" s="188"/>
      <c r="L175" s="188"/>
      <c r="M175" s="188"/>
      <c r="N175" s="188"/>
      <c r="O175" s="188"/>
      <c r="P175" s="188"/>
      <c r="Q175" s="188"/>
      <c r="R175" s="188"/>
      <c r="S175" s="188"/>
      <c r="T175" s="188"/>
      <c r="U175" s="188"/>
    </row>
    <row r="176" spans="1:21">
      <c r="A176" s="424" t="s">
        <v>9</v>
      </c>
      <c r="B176" s="188" t="s">
        <v>1037</v>
      </c>
      <c r="C176" s="345"/>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46" t="s">
        <v>11</v>
      </c>
      <c r="B177" s="347" t="s">
        <v>796</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46"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46" t="s">
        <v>15</v>
      </c>
      <c r="B179" s="425">
        <f>B184</f>
        <v>3.8E-3</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46"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46" t="s">
        <v>18</v>
      </c>
      <c r="B181" s="188" t="s">
        <v>609</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43"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44" t="s">
        <v>20</v>
      </c>
      <c r="B183" s="344" t="s">
        <v>21</v>
      </c>
      <c r="C183" s="344" t="s">
        <v>18</v>
      </c>
      <c r="D183" s="344" t="s">
        <v>22</v>
      </c>
      <c r="E183" s="344" t="s">
        <v>7</v>
      </c>
      <c r="F183" s="344" t="s">
        <v>13</v>
      </c>
      <c r="G183" s="344" t="s">
        <v>16</v>
      </c>
      <c r="H183" s="344" t="s">
        <v>23</v>
      </c>
      <c r="I183" s="344" t="s">
        <v>24</v>
      </c>
      <c r="J183" s="344" t="s">
        <v>25</v>
      </c>
      <c r="K183" s="344" t="s">
        <v>26</v>
      </c>
      <c r="L183" s="344" t="s">
        <v>27</v>
      </c>
      <c r="M183" s="344" t="s">
        <v>28</v>
      </c>
      <c r="N183" s="344" t="s">
        <v>11</v>
      </c>
      <c r="O183" s="188"/>
      <c r="P183" s="188"/>
      <c r="Q183" s="188"/>
      <c r="R183" s="188"/>
      <c r="S183" s="188"/>
      <c r="T183" s="188"/>
      <c r="U183" s="188"/>
    </row>
    <row r="184" spans="1:21">
      <c r="A184" s="192" t="s">
        <v>1036</v>
      </c>
      <c r="B184" s="415">
        <v>3.8E-3</v>
      </c>
      <c r="C184" s="188" t="s">
        <v>609</v>
      </c>
      <c r="D184" s="408" t="s">
        <v>2</v>
      </c>
      <c r="E184" s="188" t="s">
        <v>29</v>
      </c>
      <c r="F184" s="37" t="s">
        <v>14</v>
      </c>
      <c r="G184" s="188" t="s">
        <v>30</v>
      </c>
      <c r="H184" s="188">
        <v>1</v>
      </c>
      <c r="I184" s="415">
        <f t="shared" ref="I184:I185" si="19">B184</f>
        <v>3.8E-3</v>
      </c>
      <c r="J184" s="188" t="s">
        <v>31</v>
      </c>
      <c r="K184" s="188" t="s">
        <v>31</v>
      </c>
      <c r="L184" s="188" t="s">
        <v>31</v>
      </c>
      <c r="M184" s="188" t="s">
        <v>31</v>
      </c>
      <c r="N184" s="188"/>
      <c r="O184" s="188"/>
      <c r="P184" s="188"/>
      <c r="Q184" s="188"/>
      <c r="R184" s="188"/>
      <c r="S184" s="188"/>
      <c r="T184" s="188"/>
      <c r="U184" s="188"/>
    </row>
    <row r="185" spans="1:21">
      <c r="A185" s="188" t="s">
        <v>1038</v>
      </c>
      <c r="B185" s="415">
        <v>3.8E-3</v>
      </c>
      <c r="C185" s="188" t="s">
        <v>609</v>
      </c>
      <c r="D185" s="408" t="s">
        <v>2</v>
      </c>
      <c r="E185" s="188" t="s">
        <v>29</v>
      </c>
      <c r="F185" s="37" t="s">
        <v>14</v>
      </c>
      <c r="G185" s="188" t="s">
        <v>33</v>
      </c>
      <c r="H185" s="188">
        <v>1</v>
      </c>
      <c r="I185" s="415">
        <f t="shared" si="19"/>
        <v>3.8E-3</v>
      </c>
      <c r="J185" s="188" t="s">
        <v>31</v>
      </c>
      <c r="K185" s="188" t="s">
        <v>31</v>
      </c>
      <c r="L185" s="188" t="s">
        <v>31</v>
      </c>
      <c r="M185" s="188" t="s">
        <v>31</v>
      </c>
      <c r="N185" s="188"/>
      <c r="O185" s="188"/>
      <c r="P185" s="462"/>
      <c r="Q185" s="188"/>
      <c r="R185" s="188"/>
      <c r="S185" s="188"/>
      <c r="T185" s="188"/>
      <c r="U185" s="188"/>
    </row>
    <row r="186" spans="1:21">
      <c r="A186" s="346" t="s">
        <v>269</v>
      </c>
      <c r="B186" s="350">
        <f>P186</f>
        <v>0.23</v>
      </c>
      <c r="C186" s="188" t="s">
        <v>39</v>
      </c>
      <c r="D186" s="188" t="s">
        <v>40</v>
      </c>
      <c r="E186" s="188" t="s">
        <v>29</v>
      </c>
      <c r="F186" s="37" t="s">
        <v>35</v>
      </c>
      <c r="G186" s="188" t="s">
        <v>33</v>
      </c>
      <c r="H186" s="188">
        <v>2</v>
      </c>
      <c r="I186" s="188">
        <f t="shared" ref="I186:I187" si="20">LN(B186)</f>
        <v>-1.4696759700589417</v>
      </c>
      <c r="J186" s="188">
        <v>0.20928449536456342</v>
      </c>
      <c r="K186" s="188" t="s">
        <v>31</v>
      </c>
      <c r="L186" s="188" t="s">
        <v>31</v>
      </c>
      <c r="M186" s="188" t="s">
        <v>31</v>
      </c>
      <c r="N186" s="188"/>
      <c r="O186" s="401" t="s">
        <v>248</v>
      </c>
      <c r="P186" s="414">
        <f>0.07+0.16</f>
        <v>0.23</v>
      </c>
      <c r="Q186" s="188"/>
      <c r="R186" s="188"/>
      <c r="S186" s="188"/>
      <c r="T186" s="188"/>
      <c r="U186" s="188"/>
    </row>
    <row r="187" spans="1:21">
      <c r="A187" s="346" t="s">
        <v>799</v>
      </c>
      <c r="B187" s="188">
        <f>R187</f>
        <v>5.0000000000000001E-4</v>
      </c>
      <c r="C187" s="188" t="s">
        <v>37</v>
      </c>
      <c r="D187" s="188" t="s">
        <v>40</v>
      </c>
      <c r="E187" s="188" t="s">
        <v>29</v>
      </c>
      <c r="F187" s="37" t="s">
        <v>74</v>
      </c>
      <c r="G187" s="188" t="s">
        <v>33</v>
      </c>
      <c r="H187" s="188">
        <v>2</v>
      </c>
      <c r="I187" s="188">
        <f t="shared" si="20"/>
        <v>-7.6009024595420822</v>
      </c>
      <c r="J187" s="188">
        <v>0.20928449536456342</v>
      </c>
      <c r="K187" s="188" t="s">
        <v>31</v>
      </c>
      <c r="L187" s="188" t="s">
        <v>31</v>
      </c>
      <c r="M187" s="188" t="s">
        <v>31</v>
      </c>
      <c r="N187" s="188"/>
      <c r="O187" s="401" t="s">
        <v>580</v>
      </c>
      <c r="P187" s="414">
        <v>0.5</v>
      </c>
      <c r="Q187" s="188" t="s">
        <v>241</v>
      </c>
      <c r="R187" s="188">
        <f>P187*0.001</f>
        <v>5.0000000000000001E-4</v>
      </c>
      <c r="S187" s="188"/>
      <c r="T187" s="188"/>
      <c r="U187" s="188"/>
    </row>
    <row r="188" spans="1:21">
      <c r="A188" s="88" t="s">
        <v>545</v>
      </c>
      <c r="B188" s="188">
        <f>R188</f>
        <v>5.9999999999999995E-4</v>
      </c>
      <c r="C188" s="188" t="s">
        <v>37</v>
      </c>
      <c r="D188" s="188" t="s">
        <v>40</v>
      </c>
      <c r="E188" s="188" t="s">
        <v>29</v>
      </c>
      <c r="F188" s="188" t="s">
        <v>35</v>
      </c>
      <c r="G188" s="188" t="s">
        <v>33</v>
      </c>
      <c r="H188" s="188">
        <v>2</v>
      </c>
      <c r="I188" s="188">
        <f>LN(B188)</f>
        <v>-7.4185809027481282</v>
      </c>
      <c r="J188" s="188">
        <v>0.20928449536456342</v>
      </c>
      <c r="K188" s="188" t="s">
        <v>31</v>
      </c>
      <c r="L188" s="188" t="s">
        <v>31</v>
      </c>
      <c r="M188" s="188" t="s">
        <v>31</v>
      </c>
      <c r="N188" s="188"/>
      <c r="O188" s="401" t="s">
        <v>580</v>
      </c>
      <c r="P188" s="414">
        <v>0.6</v>
      </c>
      <c r="Q188" s="188" t="s">
        <v>241</v>
      </c>
      <c r="R188" s="188">
        <f>P188*0.001</f>
        <v>5.9999999999999995E-4</v>
      </c>
      <c r="S188" s="188"/>
      <c r="T188" s="188"/>
      <c r="U188" s="188"/>
    </row>
    <row r="189" spans="1:21">
      <c r="A189" s="188" t="s">
        <v>784</v>
      </c>
      <c r="B189" s="188">
        <f>R189</f>
        <v>5.9999999999999995E-4</v>
      </c>
      <c r="C189" s="188" t="s">
        <v>37</v>
      </c>
      <c r="D189" s="408" t="s">
        <v>2</v>
      </c>
      <c r="E189" s="188" t="s">
        <v>29</v>
      </c>
      <c r="F189" s="37" t="s">
        <v>74</v>
      </c>
      <c r="G189" s="188" t="s">
        <v>33</v>
      </c>
      <c r="H189" s="188">
        <v>2</v>
      </c>
      <c r="I189" s="188">
        <f t="shared" ref="I189" si="21">LN(B189)</f>
        <v>-7.4185809027481282</v>
      </c>
      <c r="J189" s="188">
        <v>0.20928449536456342</v>
      </c>
      <c r="K189" s="188" t="s">
        <v>31</v>
      </c>
      <c r="L189" s="188" t="s">
        <v>31</v>
      </c>
      <c r="M189" s="188" t="s">
        <v>31</v>
      </c>
      <c r="N189" s="188"/>
      <c r="O189" s="447" t="s">
        <v>580</v>
      </c>
      <c r="P189" s="419">
        <v>0.6</v>
      </c>
      <c r="Q189" s="188" t="s">
        <v>241</v>
      </c>
      <c r="R189" s="188">
        <f t="shared" ref="R189" si="22">0.001*P189</f>
        <v>5.9999999999999995E-4</v>
      </c>
      <c r="S189" s="188"/>
      <c r="T189" s="188"/>
      <c r="U189" s="188"/>
    </row>
    <row r="190" spans="1:21" s="70" customFormat="1">
      <c r="A190" s="370" t="s">
        <v>5</v>
      </c>
      <c r="B190" s="371" t="s">
        <v>1038</v>
      </c>
      <c r="C190" s="372"/>
      <c r="D190" s="353"/>
      <c r="E190" s="353"/>
      <c r="F190" s="353"/>
      <c r="G190" s="353"/>
      <c r="H190" s="353"/>
      <c r="I190" s="353"/>
      <c r="J190" s="353"/>
      <c r="K190" s="353"/>
      <c r="L190" s="353"/>
      <c r="M190" s="353"/>
      <c r="N190" s="353"/>
      <c r="O190" s="353"/>
      <c r="P190" s="353"/>
      <c r="Q190" s="353"/>
      <c r="R190" s="353"/>
      <c r="S190" s="353"/>
      <c r="T190" s="353"/>
      <c r="U190" s="353"/>
    </row>
    <row r="191" spans="1:21">
      <c r="A191" s="346" t="s">
        <v>7</v>
      </c>
      <c r="B191" s="188" t="s">
        <v>786</v>
      </c>
      <c r="C191" s="345"/>
      <c r="D191" s="188"/>
      <c r="E191" s="188"/>
      <c r="F191" s="188"/>
      <c r="G191" s="188"/>
      <c r="H191" s="188"/>
      <c r="I191" s="188"/>
      <c r="J191" s="188"/>
      <c r="K191" s="188"/>
      <c r="L191" s="188"/>
      <c r="M191" s="188"/>
      <c r="N191" s="188"/>
      <c r="O191" s="188"/>
      <c r="P191" s="188"/>
      <c r="Q191" s="188"/>
      <c r="R191" s="188"/>
      <c r="S191" s="188"/>
      <c r="T191" s="188"/>
      <c r="U191" s="188"/>
    </row>
    <row r="192" spans="1:21">
      <c r="A192" s="424" t="s">
        <v>9</v>
      </c>
      <c r="B192" s="188" t="s">
        <v>1039</v>
      </c>
      <c r="C192" s="345"/>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46" t="s">
        <v>11</v>
      </c>
      <c r="B193" s="347" t="s">
        <v>796</v>
      </c>
      <c r="C193" s="188"/>
      <c r="D193" s="188"/>
      <c r="E193" s="188"/>
      <c r="F193" s="188"/>
      <c r="G193" s="188"/>
      <c r="H193" s="188"/>
      <c r="I193" s="188"/>
      <c r="J193" s="188"/>
      <c r="K193" s="188"/>
      <c r="L193" s="188"/>
      <c r="M193" s="188"/>
      <c r="N193" s="188"/>
      <c r="O193" s="188"/>
      <c r="P193" s="188"/>
      <c r="Q193" s="344" t="s">
        <v>885</v>
      </c>
      <c r="R193" s="188"/>
      <c r="S193" s="188"/>
      <c r="T193" s="188"/>
      <c r="U193" s="188"/>
    </row>
    <row r="194" spans="1:21">
      <c r="A194" s="346" t="s">
        <v>13</v>
      </c>
      <c r="B194" s="188" t="s">
        <v>14</v>
      </c>
      <c r="C194" s="188"/>
      <c r="D194" s="188"/>
      <c r="E194" s="188"/>
      <c r="F194" s="188"/>
      <c r="G194" s="188"/>
      <c r="H194" s="188"/>
      <c r="I194" s="188"/>
      <c r="J194" s="188"/>
      <c r="K194" s="188"/>
      <c r="L194" s="188"/>
      <c r="M194" s="188"/>
      <c r="N194" s="188"/>
      <c r="O194" s="188"/>
      <c r="P194" s="188"/>
      <c r="Q194" s="188" t="s">
        <v>886</v>
      </c>
      <c r="R194" s="188">
        <v>8900</v>
      </c>
      <c r="S194" s="188" t="s">
        <v>887</v>
      </c>
      <c r="T194" s="188"/>
      <c r="U194" s="188"/>
    </row>
    <row r="195" spans="1:21">
      <c r="A195" s="346" t="s">
        <v>15</v>
      </c>
      <c r="B195" s="425">
        <f>B200</f>
        <v>0.05</v>
      </c>
      <c r="C195" s="188"/>
      <c r="D195" s="188"/>
      <c r="E195" s="188"/>
      <c r="F195" s="188"/>
      <c r="G195" s="188"/>
      <c r="H195" s="188"/>
      <c r="I195" s="188"/>
      <c r="J195" s="188"/>
      <c r="K195" s="188"/>
      <c r="L195" s="188"/>
      <c r="M195" s="188"/>
      <c r="N195" s="188"/>
      <c r="O195" s="188"/>
      <c r="P195" s="188"/>
      <c r="Q195" s="188" t="s">
        <v>888</v>
      </c>
      <c r="R195" s="188">
        <f>5*10^-6</f>
        <v>4.9999999999999996E-6</v>
      </c>
      <c r="S195" s="188" t="s">
        <v>889</v>
      </c>
      <c r="T195" s="188"/>
      <c r="U195" s="188"/>
    </row>
    <row r="196" spans="1:21">
      <c r="A196" s="346" t="s">
        <v>16</v>
      </c>
      <c r="B196" s="188" t="s">
        <v>17</v>
      </c>
      <c r="C196" s="188"/>
      <c r="D196" s="188"/>
      <c r="E196" s="188"/>
      <c r="F196" s="188"/>
      <c r="G196" s="188"/>
      <c r="H196" s="188"/>
      <c r="I196" s="188"/>
      <c r="J196" s="188"/>
      <c r="K196" s="188"/>
      <c r="L196" s="188"/>
      <c r="M196" s="188"/>
      <c r="N196" s="188"/>
      <c r="O196" s="188"/>
      <c r="P196" s="188"/>
      <c r="Q196" s="427" t="s">
        <v>890</v>
      </c>
      <c r="R196" s="428">
        <f>R195*R194</f>
        <v>4.4499999999999998E-2</v>
      </c>
      <c r="S196" s="429" t="s">
        <v>891</v>
      </c>
      <c r="T196" s="188"/>
      <c r="U196" s="188"/>
    </row>
    <row r="197" spans="1:21">
      <c r="A197" s="346" t="s">
        <v>18</v>
      </c>
      <c r="B197" s="188" t="s">
        <v>609</v>
      </c>
      <c r="C197" s="188"/>
      <c r="D197" s="188"/>
      <c r="E197" s="188"/>
      <c r="F197" s="188"/>
      <c r="G197" s="188"/>
      <c r="H197" s="188"/>
      <c r="I197" s="188"/>
      <c r="J197" s="188"/>
      <c r="K197" s="188"/>
      <c r="L197" s="188"/>
      <c r="M197" s="188"/>
      <c r="N197" s="188"/>
      <c r="O197" s="188"/>
      <c r="P197" s="188"/>
      <c r="Q197" s="188"/>
      <c r="R197" s="188"/>
      <c r="S197" s="188"/>
      <c r="T197" s="188"/>
      <c r="U197" s="188"/>
    </row>
    <row r="198" spans="1:21">
      <c r="A198" s="343" t="s">
        <v>19</v>
      </c>
      <c r="B198" s="188"/>
      <c r="C198" s="188"/>
      <c r="D198" s="188"/>
      <c r="E198" s="188"/>
      <c r="F198" s="188"/>
      <c r="G198" s="188"/>
      <c r="H198" s="188"/>
      <c r="I198" s="188"/>
      <c r="J198" s="188"/>
      <c r="K198" s="188"/>
      <c r="L198" s="188"/>
      <c r="M198" s="188"/>
      <c r="N198" s="188"/>
      <c r="O198" s="188"/>
      <c r="P198" s="188"/>
      <c r="Q198" s="188" t="s">
        <v>554</v>
      </c>
      <c r="R198" s="188"/>
      <c r="S198" s="188"/>
      <c r="T198" s="410"/>
      <c r="U198" s="188"/>
    </row>
    <row r="199" spans="1:21">
      <c r="A199" s="344" t="s">
        <v>20</v>
      </c>
      <c r="B199" s="344" t="s">
        <v>21</v>
      </c>
      <c r="C199" s="344" t="s">
        <v>18</v>
      </c>
      <c r="D199" s="344" t="s">
        <v>22</v>
      </c>
      <c r="E199" s="344" t="s">
        <v>7</v>
      </c>
      <c r="F199" s="344" t="s">
        <v>13</v>
      </c>
      <c r="G199" s="344" t="s">
        <v>16</v>
      </c>
      <c r="H199" s="344" t="s">
        <v>23</v>
      </c>
      <c r="I199" s="344" t="s">
        <v>24</v>
      </c>
      <c r="J199" s="344" t="s">
        <v>25</v>
      </c>
      <c r="K199" s="344" t="s">
        <v>26</v>
      </c>
      <c r="L199" s="344" t="s">
        <v>27</v>
      </c>
      <c r="M199" s="344" t="s">
        <v>28</v>
      </c>
      <c r="N199" s="344" t="s">
        <v>11</v>
      </c>
      <c r="O199" s="188"/>
      <c r="P199" s="188"/>
      <c r="Q199" s="430">
        <v>0.1</v>
      </c>
      <c r="R199" s="431" t="s">
        <v>610</v>
      </c>
      <c r="S199" s="430">
        <f>Q199*R196</f>
        <v>4.45E-3</v>
      </c>
      <c r="T199" s="431" t="s">
        <v>241</v>
      </c>
      <c r="U199" s="188"/>
    </row>
    <row r="200" spans="1:21">
      <c r="A200" s="188" t="s">
        <v>1038</v>
      </c>
      <c r="B200" s="473">
        <v>0.05</v>
      </c>
      <c r="C200" s="188" t="s">
        <v>609</v>
      </c>
      <c r="D200" s="408" t="s">
        <v>2</v>
      </c>
      <c r="E200" s="188" t="s">
        <v>29</v>
      </c>
      <c r="F200" s="188" t="s">
        <v>14</v>
      </c>
      <c r="G200" s="188" t="s">
        <v>30</v>
      </c>
      <c r="H200" s="188">
        <v>1</v>
      </c>
      <c r="I200" s="415">
        <f t="shared" ref="I200:I202" si="23">B200</f>
        <v>0.05</v>
      </c>
      <c r="J200" s="188" t="s">
        <v>31</v>
      </c>
      <c r="K200" s="188" t="s">
        <v>31</v>
      </c>
      <c r="L200" s="188" t="s">
        <v>31</v>
      </c>
      <c r="M200" s="188" t="s">
        <v>31</v>
      </c>
      <c r="N200" s="188"/>
      <c r="O200" s="449" t="s">
        <v>892</v>
      </c>
      <c r="P200" s="450">
        <f>B200*100</f>
        <v>5</v>
      </c>
      <c r="Q200" s="188"/>
      <c r="R200" s="188"/>
      <c r="S200" s="188"/>
      <c r="T200" s="188"/>
      <c r="U200" s="188"/>
    </row>
    <row r="201" spans="1:21">
      <c r="A201" s="188" t="s">
        <v>1040</v>
      </c>
      <c r="B201" s="473">
        <v>0.05</v>
      </c>
      <c r="C201" s="188" t="s">
        <v>609</v>
      </c>
      <c r="D201" s="408" t="s">
        <v>2</v>
      </c>
      <c r="E201" s="188" t="s">
        <v>29</v>
      </c>
      <c r="F201" s="188" t="s">
        <v>14</v>
      </c>
      <c r="G201" s="188" t="s">
        <v>33</v>
      </c>
      <c r="H201" s="188">
        <v>1</v>
      </c>
      <c r="I201" s="415">
        <f t="shared" si="23"/>
        <v>0.05</v>
      </c>
      <c r="J201" s="188">
        <v>7.2284161474004766E-2</v>
      </c>
      <c r="K201" s="188" t="s">
        <v>31</v>
      </c>
      <c r="L201" s="188" t="s">
        <v>31</v>
      </c>
      <c r="M201" s="188" t="s">
        <v>31</v>
      </c>
      <c r="N201" s="188"/>
      <c r="O201" s="401" t="s">
        <v>892</v>
      </c>
      <c r="P201" s="414">
        <f>B201*100</f>
        <v>5</v>
      </c>
      <c r="Q201" s="188"/>
      <c r="R201" s="188"/>
      <c r="S201" s="188"/>
      <c r="T201" s="188"/>
      <c r="U201" s="188"/>
    </row>
    <row r="202" spans="1:21">
      <c r="A202" s="192" t="s">
        <v>994</v>
      </c>
      <c r="B202" s="420">
        <f>S199</f>
        <v>4.45E-3</v>
      </c>
      <c r="C202" s="188" t="s">
        <v>37</v>
      </c>
      <c r="D202" s="408" t="s">
        <v>2</v>
      </c>
      <c r="E202" s="188" t="s">
        <v>29</v>
      </c>
      <c r="F202" s="37" t="s">
        <v>14</v>
      </c>
      <c r="G202" s="188" t="s">
        <v>33</v>
      </c>
      <c r="H202" s="188">
        <v>1</v>
      </c>
      <c r="I202" s="415">
        <f t="shared" si="23"/>
        <v>4.45E-3</v>
      </c>
      <c r="J202" s="188">
        <v>7.2284161474004766E-2</v>
      </c>
      <c r="K202" s="188" t="s">
        <v>31</v>
      </c>
      <c r="L202" s="188" t="s">
        <v>31</v>
      </c>
      <c r="M202" s="188" t="s">
        <v>31</v>
      </c>
      <c r="N202" s="188"/>
      <c r="O202" s="192"/>
      <c r="P202" s="421"/>
      <c r="Q202" s="188"/>
      <c r="R202" s="188"/>
      <c r="S202" s="188"/>
      <c r="T202" s="188"/>
      <c r="U202" s="188"/>
    </row>
    <row r="203" spans="1:21">
      <c r="A203" s="346" t="s">
        <v>799</v>
      </c>
      <c r="B203" s="188">
        <v>0.8</v>
      </c>
      <c r="C203" s="188" t="s">
        <v>37</v>
      </c>
      <c r="D203" s="188" t="s">
        <v>40</v>
      </c>
      <c r="E203" s="188" t="s">
        <v>29</v>
      </c>
      <c r="F203" s="37" t="s">
        <v>74</v>
      </c>
      <c r="G203" s="188" t="s">
        <v>33</v>
      </c>
      <c r="H203" s="188">
        <v>2</v>
      </c>
      <c r="I203" s="188">
        <f t="shared" ref="I203:I204" si="24">LN(B203)</f>
        <v>-0.22314355131420971</v>
      </c>
      <c r="J203" s="188">
        <v>7.2284161474004766E-2</v>
      </c>
      <c r="K203" s="188" t="s">
        <v>31</v>
      </c>
      <c r="L203" s="188" t="s">
        <v>31</v>
      </c>
      <c r="M203" s="188" t="s">
        <v>31</v>
      </c>
      <c r="N203" s="188"/>
      <c r="O203" s="192" t="s">
        <v>1041</v>
      </c>
      <c r="P203" s="421"/>
      <c r="Q203" s="188"/>
      <c r="R203" s="188"/>
      <c r="S203" s="188"/>
      <c r="T203" s="188"/>
      <c r="U203" s="188"/>
    </row>
    <row r="204" spans="1:21">
      <c r="A204" s="88" t="s">
        <v>76</v>
      </c>
      <c r="B204" s="188">
        <f>0.001*0.8</f>
        <v>8.0000000000000004E-4</v>
      </c>
      <c r="C204" s="188" t="s">
        <v>42</v>
      </c>
      <c r="D204" s="188" t="s">
        <v>40</v>
      </c>
      <c r="E204" s="188" t="s">
        <v>29</v>
      </c>
      <c r="F204" s="37" t="s">
        <v>74</v>
      </c>
      <c r="G204" s="188" t="s">
        <v>33</v>
      </c>
      <c r="H204" s="188">
        <v>2</v>
      </c>
      <c r="I204" s="188">
        <f t="shared" si="24"/>
        <v>-7.1308988302963465</v>
      </c>
      <c r="J204" s="188">
        <v>7.2284161474004766E-2</v>
      </c>
      <c r="K204" s="188" t="s">
        <v>31</v>
      </c>
      <c r="L204" s="188" t="s">
        <v>31</v>
      </c>
      <c r="M204" s="188" t="s">
        <v>31</v>
      </c>
      <c r="N204" s="188"/>
      <c r="O204" s="192"/>
      <c r="P204" s="421"/>
      <c r="Q204" s="435"/>
      <c r="R204" s="188"/>
      <c r="S204" s="188"/>
      <c r="T204" s="188"/>
      <c r="U204" s="188"/>
    </row>
    <row r="205" spans="1:21" s="70" customFormat="1">
      <c r="A205" s="370" t="s">
        <v>5</v>
      </c>
      <c r="B205" s="371" t="s">
        <v>1040</v>
      </c>
      <c r="C205" s="372"/>
      <c r="D205" s="353"/>
      <c r="E205" s="353"/>
      <c r="F205" s="353"/>
      <c r="G205" s="353"/>
      <c r="H205" s="353"/>
      <c r="I205" s="353"/>
      <c r="J205" s="353"/>
      <c r="K205" s="353"/>
      <c r="L205" s="353"/>
      <c r="M205" s="353"/>
      <c r="N205" s="353"/>
      <c r="O205" s="353"/>
      <c r="P205" s="353"/>
      <c r="Q205" s="353"/>
      <c r="R205" s="353"/>
      <c r="S205" s="353"/>
      <c r="T205" s="353"/>
      <c r="U205" s="353"/>
    </row>
    <row r="206" spans="1:21">
      <c r="A206" s="346" t="s">
        <v>7</v>
      </c>
      <c r="B206" s="188" t="s">
        <v>786</v>
      </c>
      <c r="C206" s="345"/>
      <c r="D206" s="188"/>
      <c r="E206" s="188"/>
      <c r="F206" s="188"/>
      <c r="G206" s="188"/>
      <c r="H206" s="188"/>
      <c r="I206" s="188"/>
      <c r="J206" s="188"/>
      <c r="K206" s="188"/>
      <c r="L206" s="188"/>
      <c r="M206" s="188"/>
      <c r="N206" s="188"/>
      <c r="O206" s="188"/>
      <c r="P206" s="188"/>
      <c r="Q206" s="188"/>
      <c r="R206" s="188"/>
      <c r="S206" s="188"/>
      <c r="T206" s="188"/>
      <c r="U206" s="188"/>
    </row>
    <row r="207" spans="1:21">
      <c r="A207" s="424" t="s">
        <v>9</v>
      </c>
      <c r="B207" s="188" t="s">
        <v>1042</v>
      </c>
      <c r="C207" s="345"/>
      <c r="D207" s="188"/>
      <c r="E207" s="188"/>
      <c r="F207" s="188"/>
      <c r="G207" s="188"/>
      <c r="H207" s="188"/>
      <c r="I207" s="188"/>
      <c r="J207" s="188"/>
      <c r="K207" s="188"/>
      <c r="L207" s="188"/>
      <c r="M207" s="188"/>
      <c r="N207" s="188"/>
      <c r="O207" s="188"/>
      <c r="P207" s="188"/>
      <c r="Q207" s="188"/>
      <c r="R207" s="188"/>
      <c r="S207" s="188"/>
      <c r="T207" s="188"/>
      <c r="U207" s="188"/>
    </row>
    <row r="208" spans="1:21" ht="15.75" customHeight="1">
      <c r="A208" s="346" t="s">
        <v>11</v>
      </c>
      <c r="B208" s="347" t="s">
        <v>796</v>
      </c>
      <c r="C208" s="188"/>
      <c r="D208" s="188"/>
      <c r="E208" s="188"/>
      <c r="F208" s="188"/>
      <c r="G208" s="188"/>
      <c r="H208" s="188"/>
      <c r="I208" s="188"/>
      <c r="J208" s="188"/>
      <c r="K208" s="188"/>
      <c r="L208" s="188"/>
      <c r="M208" s="188"/>
      <c r="N208" s="188"/>
      <c r="O208" s="188"/>
      <c r="P208" s="188"/>
      <c r="Q208" s="188"/>
      <c r="R208" s="188"/>
      <c r="S208" s="188"/>
      <c r="T208" s="188"/>
      <c r="U208" s="188"/>
    </row>
    <row r="209" spans="1:21">
      <c r="A209" s="346" t="s">
        <v>13</v>
      </c>
      <c r="B209" s="188" t="s">
        <v>14</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46" t="s">
        <v>15</v>
      </c>
      <c r="B210" s="425">
        <f>B215</f>
        <v>0.05</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46" t="s">
        <v>16</v>
      </c>
      <c r="B211" s="188" t="s">
        <v>17</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46" t="s">
        <v>18</v>
      </c>
      <c r="B212" s="188" t="s">
        <v>609</v>
      </c>
      <c r="C212" s="188"/>
      <c r="D212" s="188"/>
      <c r="E212" s="188"/>
      <c r="F212" s="188"/>
      <c r="G212" s="188"/>
      <c r="H212" s="188"/>
      <c r="I212" s="188"/>
      <c r="J212" s="188"/>
      <c r="K212" s="188"/>
      <c r="L212" s="188"/>
      <c r="M212" s="188"/>
      <c r="N212" s="188"/>
      <c r="O212" s="188"/>
      <c r="P212" s="188"/>
      <c r="Q212" s="188"/>
      <c r="R212" s="188"/>
      <c r="S212" s="415"/>
      <c r="T212" s="188"/>
      <c r="U212" s="188"/>
    </row>
    <row r="213" spans="1:21">
      <c r="A213" s="343" t="s">
        <v>19</v>
      </c>
      <c r="B213" s="188"/>
      <c r="C213" s="188"/>
      <c r="D213" s="188"/>
      <c r="E213" s="188"/>
      <c r="F213" s="188"/>
      <c r="G213" s="188"/>
      <c r="H213" s="188"/>
      <c r="I213" s="188"/>
      <c r="J213" s="188"/>
      <c r="K213" s="188"/>
      <c r="L213" s="188"/>
      <c r="M213" s="188"/>
      <c r="N213" s="188"/>
      <c r="O213" s="188"/>
      <c r="P213" s="188"/>
      <c r="Q213" s="188"/>
      <c r="R213" s="188"/>
      <c r="S213" s="188"/>
      <c r="T213" s="188"/>
      <c r="U213" s="188"/>
    </row>
    <row r="214" spans="1:21">
      <c r="A214" s="344" t="s">
        <v>20</v>
      </c>
      <c r="B214" s="344" t="s">
        <v>21</v>
      </c>
      <c r="C214" s="344" t="s">
        <v>18</v>
      </c>
      <c r="D214" s="344" t="s">
        <v>22</v>
      </c>
      <c r="E214" s="344" t="s">
        <v>7</v>
      </c>
      <c r="F214" s="344" t="s">
        <v>13</v>
      </c>
      <c r="G214" s="344" t="s">
        <v>16</v>
      </c>
      <c r="H214" s="344" t="s">
        <v>23</v>
      </c>
      <c r="I214" s="344" t="s">
        <v>24</v>
      </c>
      <c r="J214" s="344" t="s">
        <v>25</v>
      </c>
      <c r="K214" s="344" t="s">
        <v>26</v>
      </c>
      <c r="L214" s="344" t="s">
        <v>27</v>
      </c>
      <c r="M214" s="344" t="s">
        <v>28</v>
      </c>
      <c r="N214" s="344" t="s">
        <v>11</v>
      </c>
      <c r="O214" s="188"/>
      <c r="P214" s="188"/>
      <c r="Q214" s="188"/>
      <c r="R214" s="188"/>
      <c r="S214" s="188"/>
      <c r="T214" s="188"/>
      <c r="U214" s="188"/>
    </row>
    <row r="215" spans="1:21">
      <c r="A215" s="188" t="s">
        <v>1040</v>
      </c>
      <c r="B215" s="415">
        <v>0.05</v>
      </c>
      <c r="C215" s="188" t="s">
        <v>609</v>
      </c>
      <c r="D215" s="408" t="s">
        <v>2</v>
      </c>
      <c r="E215" s="188" t="s">
        <v>29</v>
      </c>
      <c r="F215" s="188" t="s">
        <v>14</v>
      </c>
      <c r="G215" s="188" t="s">
        <v>30</v>
      </c>
      <c r="H215" s="188">
        <v>1</v>
      </c>
      <c r="I215" s="415">
        <f t="shared" ref="I215:I216" si="25">B215</f>
        <v>0.05</v>
      </c>
      <c r="J215" s="188" t="s">
        <v>31</v>
      </c>
      <c r="K215" s="188" t="s">
        <v>31</v>
      </c>
      <c r="L215" s="188" t="s">
        <v>31</v>
      </c>
      <c r="M215" s="188" t="s">
        <v>31</v>
      </c>
      <c r="N215" s="188"/>
      <c r="O215" s="401" t="s">
        <v>892</v>
      </c>
      <c r="P215" s="414">
        <f>B215*100</f>
        <v>5</v>
      </c>
      <c r="Q215" s="188"/>
      <c r="R215" s="188"/>
      <c r="S215" s="188"/>
      <c r="T215" s="188"/>
      <c r="U215" s="188"/>
    </row>
    <row r="216" spans="1:21">
      <c r="A216" s="188" t="s">
        <v>997</v>
      </c>
      <c r="B216" s="415">
        <f>'[2]Same processes'!B46</f>
        <v>0.25</v>
      </c>
      <c r="C216" s="188" t="s">
        <v>37</v>
      </c>
      <c r="D216" s="408" t="s">
        <v>2</v>
      </c>
      <c r="E216" s="188" t="s">
        <v>29</v>
      </c>
      <c r="F216" s="188" t="s">
        <v>14</v>
      </c>
      <c r="G216" s="188" t="s">
        <v>33</v>
      </c>
      <c r="H216" s="188">
        <v>1</v>
      </c>
      <c r="I216" s="415">
        <f t="shared" si="25"/>
        <v>0.25</v>
      </c>
      <c r="J216" s="188" t="s">
        <v>31</v>
      </c>
      <c r="K216" s="188" t="s">
        <v>31</v>
      </c>
      <c r="L216" s="188" t="s">
        <v>31</v>
      </c>
      <c r="M216" s="188" t="s">
        <v>31</v>
      </c>
      <c r="N216" s="188"/>
      <c r="O216" s="432"/>
      <c r="P216" s="455">
        <v>0.93</v>
      </c>
      <c r="Q216" s="188" t="s">
        <v>1043</v>
      </c>
      <c r="R216" s="188"/>
      <c r="S216" s="188"/>
      <c r="T216" s="188"/>
      <c r="U216" s="188"/>
    </row>
    <row r="217" spans="1:21">
      <c r="A217" s="346" t="s">
        <v>269</v>
      </c>
      <c r="B217" s="350">
        <f>P217</f>
        <v>0.06</v>
      </c>
      <c r="C217" s="188" t="s">
        <v>39</v>
      </c>
      <c r="D217" s="188" t="s">
        <v>40</v>
      </c>
      <c r="E217" s="188" t="s">
        <v>29</v>
      </c>
      <c r="F217" s="37" t="s">
        <v>35</v>
      </c>
      <c r="G217" s="188" t="s">
        <v>33</v>
      </c>
      <c r="H217" s="188">
        <v>2</v>
      </c>
      <c r="I217" s="188">
        <f t="shared" ref="I217:I218" si="26">LN(B217)</f>
        <v>-2.8134107167600364</v>
      </c>
      <c r="J217" s="188">
        <v>7.2284161474004766E-2</v>
      </c>
      <c r="K217" s="188" t="s">
        <v>31</v>
      </c>
      <c r="L217" s="188" t="s">
        <v>31</v>
      </c>
      <c r="M217" s="188" t="s">
        <v>31</v>
      </c>
      <c r="N217" s="188"/>
      <c r="O217" s="401" t="s">
        <v>248</v>
      </c>
      <c r="P217" s="414">
        <v>0.06</v>
      </c>
      <c r="Q217" s="188"/>
      <c r="R217" s="188"/>
      <c r="S217" s="188"/>
      <c r="T217" s="188"/>
      <c r="U217" s="188"/>
    </row>
    <row r="218" spans="1:21">
      <c r="A218" s="88" t="s">
        <v>310</v>
      </c>
      <c r="B218" s="188">
        <f>R218</f>
        <v>1E-3</v>
      </c>
      <c r="C218" s="415" t="s">
        <v>37</v>
      </c>
      <c r="D218" s="188" t="s">
        <v>40</v>
      </c>
      <c r="E218" s="188" t="s">
        <v>29</v>
      </c>
      <c r="F218" s="188" t="s">
        <v>59</v>
      </c>
      <c r="G218" s="188" t="s">
        <v>33</v>
      </c>
      <c r="H218" s="188">
        <v>2</v>
      </c>
      <c r="I218" s="188">
        <f t="shared" si="26"/>
        <v>-6.9077552789821368</v>
      </c>
      <c r="J218" s="188">
        <v>7.2284161474004766E-2</v>
      </c>
      <c r="K218" s="188" t="s">
        <v>31</v>
      </c>
      <c r="L218" s="188" t="s">
        <v>31</v>
      </c>
      <c r="M218" s="188" t="s">
        <v>31</v>
      </c>
      <c r="N218" s="188"/>
      <c r="O218" s="401" t="s">
        <v>580</v>
      </c>
      <c r="P218" s="414">
        <v>1</v>
      </c>
      <c r="Q218" s="188" t="s">
        <v>241</v>
      </c>
      <c r="R218" s="188">
        <f>P218*0.001</f>
        <v>1E-3</v>
      </c>
      <c r="S218" s="188"/>
      <c r="T218" s="188"/>
      <c r="U218" s="188"/>
    </row>
    <row r="219" spans="1:21">
      <c r="A219" s="112" t="s">
        <v>871</v>
      </c>
      <c r="B219" s="188">
        <f t="shared" ref="B219:B220" si="27">R219</f>
        <v>2E-3</v>
      </c>
      <c r="C219" s="188" t="s">
        <v>37</v>
      </c>
      <c r="D219" s="188" t="s">
        <v>40</v>
      </c>
      <c r="E219" s="188" t="s">
        <v>29</v>
      </c>
      <c r="F219" s="37" t="s">
        <v>35</v>
      </c>
      <c r="G219" s="188" t="s">
        <v>33</v>
      </c>
      <c r="H219" s="188">
        <v>2</v>
      </c>
      <c r="I219" s="188">
        <f>LN(B219)</f>
        <v>-6.2146080984221914</v>
      </c>
      <c r="J219" s="188">
        <v>7.2284161474004766E-2</v>
      </c>
      <c r="K219" s="188" t="s">
        <v>31</v>
      </c>
      <c r="L219" s="188" t="s">
        <v>31</v>
      </c>
      <c r="M219" s="188" t="s">
        <v>31</v>
      </c>
      <c r="N219" s="188"/>
      <c r="O219" s="401" t="s">
        <v>580</v>
      </c>
      <c r="P219" s="414">
        <v>2</v>
      </c>
      <c r="Q219" s="188" t="s">
        <v>241</v>
      </c>
      <c r="R219" s="188">
        <f>P219*0.001</f>
        <v>2E-3</v>
      </c>
      <c r="S219" s="188"/>
      <c r="T219" s="188"/>
      <c r="U219" s="188"/>
    </row>
    <row r="220" spans="1:21">
      <c r="A220" s="346" t="s">
        <v>799</v>
      </c>
      <c r="B220" s="188">
        <f t="shared" si="27"/>
        <v>2.1</v>
      </c>
      <c r="C220" s="188" t="s">
        <v>37</v>
      </c>
      <c r="D220" s="188" t="s">
        <v>40</v>
      </c>
      <c r="E220" s="188" t="s">
        <v>29</v>
      </c>
      <c r="F220" s="37" t="s">
        <v>74</v>
      </c>
      <c r="G220" s="188" t="s">
        <v>33</v>
      </c>
      <c r="H220" s="188">
        <v>2</v>
      </c>
      <c r="I220" s="188">
        <f t="shared" ref="I220:I221" si="28">LN(B220)</f>
        <v>0.74193734472937733</v>
      </c>
      <c r="J220" s="188">
        <v>7.2284161474004766E-2</v>
      </c>
      <c r="K220" s="188" t="s">
        <v>31</v>
      </c>
      <c r="L220" s="188" t="s">
        <v>31</v>
      </c>
      <c r="M220" s="188" t="s">
        <v>31</v>
      </c>
      <c r="N220" s="188"/>
      <c r="O220" s="401" t="s">
        <v>241</v>
      </c>
      <c r="P220" s="414">
        <v>2.1</v>
      </c>
      <c r="Q220" s="188" t="s">
        <v>241</v>
      </c>
      <c r="R220" s="188">
        <f>P220</f>
        <v>2.1</v>
      </c>
      <c r="S220" s="188"/>
      <c r="T220" s="188"/>
      <c r="U220" s="188"/>
    </row>
    <row r="221" spans="1:21">
      <c r="A221" s="88" t="s">
        <v>76</v>
      </c>
      <c r="B221" s="188">
        <f>R221</f>
        <v>2.1000000000000003E-3</v>
      </c>
      <c r="C221" s="188" t="s">
        <v>42</v>
      </c>
      <c r="D221" s="188" t="s">
        <v>40</v>
      </c>
      <c r="E221" s="188" t="s">
        <v>29</v>
      </c>
      <c r="F221" s="37" t="s">
        <v>74</v>
      </c>
      <c r="G221" s="188" t="s">
        <v>33</v>
      </c>
      <c r="H221" s="188">
        <v>2</v>
      </c>
      <c r="I221" s="188">
        <f t="shared" si="28"/>
        <v>-6.1658179342527593</v>
      </c>
      <c r="J221" s="188">
        <v>7.2284161474004766E-2</v>
      </c>
      <c r="K221" s="188" t="s">
        <v>31</v>
      </c>
      <c r="L221" s="188" t="s">
        <v>31</v>
      </c>
      <c r="M221" s="188" t="s">
        <v>31</v>
      </c>
      <c r="N221" s="188"/>
      <c r="O221" s="418" t="s">
        <v>863</v>
      </c>
      <c r="P221" s="419">
        <v>2.1</v>
      </c>
      <c r="Q221" s="188" t="s">
        <v>251</v>
      </c>
      <c r="R221" s="188">
        <f>0.001*P221</f>
        <v>2.1000000000000003E-3</v>
      </c>
      <c r="S221" s="188"/>
      <c r="T221" s="188"/>
      <c r="U221" s="188"/>
    </row>
    <row r="222" spans="1:21" s="70" customFormat="1">
      <c r="A222" s="370" t="s">
        <v>5</v>
      </c>
      <c r="B222" s="446" t="s">
        <v>1033</v>
      </c>
      <c r="C222" s="372"/>
      <c r="D222" s="353"/>
      <c r="E222" s="353"/>
      <c r="F222" s="353"/>
      <c r="G222" s="353"/>
      <c r="H222" s="353"/>
      <c r="I222" s="353"/>
      <c r="J222" s="353"/>
      <c r="K222" s="353"/>
      <c r="L222" s="353"/>
      <c r="M222" s="353"/>
      <c r="N222" s="353"/>
      <c r="O222" s="353"/>
      <c r="P222" s="188"/>
      <c r="Q222" s="353"/>
      <c r="R222" s="353"/>
      <c r="S222" s="353"/>
      <c r="T222" s="353"/>
      <c r="U222" s="353"/>
    </row>
    <row r="223" spans="1:21">
      <c r="A223" s="346" t="s">
        <v>7</v>
      </c>
      <c r="B223" s="188" t="s">
        <v>786</v>
      </c>
      <c r="C223" s="345"/>
      <c r="D223" s="188"/>
      <c r="E223" s="188"/>
      <c r="F223" s="188"/>
      <c r="G223" s="188"/>
      <c r="H223" s="188"/>
      <c r="I223" s="188"/>
      <c r="J223" s="188"/>
      <c r="K223" s="188"/>
      <c r="L223" s="188"/>
      <c r="M223" s="188"/>
      <c r="N223" s="188"/>
      <c r="O223" s="188"/>
      <c r="P223" s="188"/>
      <c r="Q223" s="188"/>
      <c r="R223" s="188"/>
      <c r="S223" s="188"/>
      <c r="T223" s="188"/>
      <c r="U223" s="188"/>
    </row>
    <row r="224" spans="1:21">
      <c r="A224" s="424" t="s">
        <v>9</v>
      </c>
      <c r="B224" s="188" t="s">
        <v>1044</v>
      </c>
      <c r="C224" s="345"/>
      <c r="D224" s="188"/>
      <c r="E224" s="188"/>
      <c r="F224" s="188"/>
      <c r="G224" s="188"/>
      <c r="H224" s="188"/>
      <c r="I224" s="188"/>
      <c r="J224" s="188"/>
      <c r="K224" s="188"/>
      <c r="L224" s="188"/>
      <c r="M224" s="188"/>
      <c r="N224" s="188"/>
      <c r="O224" s="188"/>
      <c r="P224" s="188"/>
      <c r="Q224" s="188"/>
      <c r="R224" s="188"/>
      <c r="S224" s="188"/>
      <c r="T224" s="188"/>
      <c r="U224" s="188"/>
    </row>
    <row r="225" spans="1:21" ht="15.75" customHeight="1">
      <c r="A225" s="346" t="s">
        <v>11</v>
      </c>
      <c r="B225" s="347" t="s">
        <v>796</v>
      </c>
      <c r="C225" s="188"/>
      <c r="D225" s="188"/>
      <c r="E225" s="188"/>
      <c r="F225" s="188"/>
      <c r="G225" s="188"/>
      <c r="H225" s="188"/>
      <c r="I225" s="188"/>
      <c r="J225" s="188"/>
      <c r="K225" s="188"/>
      <c r="L225" s="188"/>
      <c r="M225" s="188"/>
      <c r="N225" s="188"/>
      <c r="O225" s="188"/>
      <c r="P225" s="188"/>
      <c r="Q225" s="188"/>
      <c r="R225" s="188"/>
      <c r="S225" s="188"/>
      <c r="T225" s="188"/>
      <c r="U225" s="188"/>
    </row>
    <row r="226" spans="1:21">
      <c r="A226" s="346" t="s">
        <v>13</v>
      </c>
      <c r="B226" s="188" t="s">
        <v>14</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46" t="s">
        <v>15</v>
      </c>
      <c r="B227" s="425">
        <f>B232</f>
        <v>1.4E-3</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46" t="s">
        <v>16</v>
      </c>
      <c r="B228" s="188" t="s">
        <v>17</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46" t="s">
        <v>18</v>
      </c>
      <c r="B229" s="188" t="s">
        <v>609</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43" t="s">
        <v>19</v>
      </c>
      <c r="B230" s="188"/>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44" t="s">
        <v>20</v>
      </c>
      <c r="B231" s="344" t="s">
        <v>21</v>
      </c>
      <c r="C231" s="344" t="s">
        <v>18</v>
      </c>
      <c r="D231" s="344" t="s">
        <v>22</v>
      </c>
      <c r="E231" s="344" t="s">
        <v>7</v>
      </c>
      <c r="F231" s="344" t="s">
        <v>13</v>
      </c>
      <c r="G231" s="344" t="s">
        <v>16</v>
      </c>
      <c r="H231" s="344" t="s">
        <v>23</v>
      </c>
      <c r="I231" s="344" t="s">
        <v>24</v>
      </c>
      <c r="J231" s="344" t="s">
        <v>25</v>
      </c>
      <c r="K231" s="344" t="s">
        <v>26</v>
      </c>
      <c r="L231" s="344" t="s">
        <v>27</v>
      </c>
      <c r="M231" s="344" t="s">
        <v>28</v>
      </c>
      <c r="N231" s="344" t="s">
        <v>11</v>
      </c>
      <c r="O231" s="188"/>
      <c r="P231" s="188"/>
      <c r="Q231" s="188"/>
      <c r="R231" s="188"/>
      <c r="S231" s="188"/>
      <c r="T231" s="188"/>
      <c r="U231" s="188"/>
    </row>
    <row r="232" spans="1:21">
      <c r="A232" s="188" t="s">
        <v>1033</v>
      </c>
      <c r="B232" s="415">
        <v>1.4E-3</v>
      </c>
      <c r="C232" s="188" t="s">
        <v>609</v>
      </c>
      <c r="D232" s="408" t="s">
        <v>2</v>
      </c>
      <c r="E232" s="188" t="s">
        <v>29</v>
      </c>
      <c r="F232" s="37" t="s">
        <v>14</v>
      </c>
      <c r="G232" s="188" t="s">
        <v>30</v>
      </c>
      <c r="H232" s="188">
        <v>1</v>
      </c>
      <c r="I232" s="415">
        <f t="shared" ref="I232:I234" si="29">B232</f>
        <v>1.4E-3</v>
      </c>
      <c r="J232" s="188" t="s">
        <v>31</v>
      </c>
      <c r="K232" s="188" t="s">
        <v>31</v>
      </c>
      <c r="L232" s="188" t="s">
        <v>31</v>
      </c>
      <c r="M232" s="188" t="s">
        <v>31</v>
      </c>
      <c r="N232" s="188"/>
      <c r="O232" s="474"/>
      <c r="P232" s="475"/>
      <c r="Q232" s="188"/>
      <c r="R232" s="188"/>
      <c r="S232" s="188"/>
      <c r="T232" s="188"/>
      <c r="U232" s="188"/>
    </row>
    <row r="233" spans="1:21">
      <c r="A233" s="188" t="s">
        <v>1045</v>
      </c>
      <c r="B233" s="415">
        <f>B253</f>
        <v>1.4E-3</v>
      </c>
      <c r="C233" s="188" t="s">
        <v>609</v>
      </c>
      <c r="D233" s="408" t="s">
        <v>2</v>
      </c>
      <c r="E233" s="188" t="s">
        <v>29</v>
      </c>
      <c r="F233" s="37" t="s">
        <v>14</v>
      </c>
      <c r="G233" s="188" t="s">
        <v>33</v>
      </c>
      <c r="H233" s="188">
        <v>1</v>
      </c>
      <c r="I233" s="415">
        <f t="shared" si="29"/>
        <v>1.4E-3</v>
      </c>
      <c r="J233" s="188" t="s">
        <v>31</v>
      </c>
      <c r="K233" s="188" t="s">
        <v>31</v>
      </c>
      <c r="L233" s="188" t="s">
        <v>31</v>
      </c>
      <c r="M233" s="188" t="s">
        <v>31</v>
      </c>
      <c r="N233" s="188"/>
      <c r="O233" s="474"/>
      <c r="P233" s="475"/>
      <c r="Q233" s="188"/>
      <c r="R233" s="188"/>
      <c r="S233" s="188"/>
      <c r="T233" s="188"/>
      <c r="U233" s="188"/>
    </row>
    <row r="234" spans="1:21">
      <c r="A234" s="188" t="s">
        <v>1046</v>
      </c>
      <c r="B234" s="415">
        <f>B241</f>
        <v>2.7000000000000006E-4</v>
      </c>
      <c r="C234" s="188" t="s">
        <v>609</v>
      </c>
      <c r="D234" s="408" t="s">
        <v>2</v>
      </c>
      <c r="E234" s="188" t="s">
        <v>29</v>
      </c>
      <c r="F234" s="37" t="s">
        <v>14</v>
      </c>
      <c r="G234" s="188" t="s">
        <v>33</v>
      </c>
      <c r="H234" s="188">
        <v>1</v>
      </c>
      <c r="I234" s="415">
        <f t="shared" si="29"/>
        <v>2.7000000000000006E-4</v>
      </c>
      <c r="J234" s="188" t="s">
        <v>31</v>
      </c>
      <c r="K234" s="188" t="s">
        <v>31</v>
      </c>
      <c r="L234" s="188" t="s">
        <v>31</v>
      </c>
      <c r="M234" s="188" t="s">
        <v>31</v>
      </c>
      <c r="N234" s="188"/>
      <c r="O234" s="409"/>
      <c r="P234" s="476"/>
      <c r="Q234" s="188"/>
      <c r="R234" s="188"/>
      <c r="S234" s="188"/>
      <c r="T234" s="188"/>
      <c r="U234" s="188"/>
    </row>
    <row r="235" spans="1:21">
      <c r="A235" s="346" t="s">
        <v>269</v>
      </c>
      <c r="B235" s="415">
        <f>P235</f>
        <v>0.03</v>
      </c>
      <c r="C235" s="188" t="s">
        <v>39</v>
      </c>
      <c r="D235" s="188" t="s">
        <v>40</v>
      </c>
      <c r="E235" s="188" t="s">
        <v>29</v>
      </c>
      <c r="F235" s="37" t="s">
        <v>35</v>
      </c>
      <c r="G235" s="188" t="s">
        <v>33</v>
      </c>
      <c r="H235" s="188">
        <v>2</v>
      </c>
      <c r="I235" s="188">
        <f t="shared" ref="I235" si="30">LN(B235)</f>
        <v>-3.5065578973199818</v>
      </c>
      <c r="J235" s="188">
        <v>0.20928449536456342</v>
      </c>
      <c r="K235" s="188" t="s">
        <v>31</v>
      </c>
      <c r="L235" s="188" t="s">
        <v>31</v>
      </c>
      <c r="M235" s="188" t="s">
        <v>31</v>
      </c>
      <c r="N235" s="188"/>
      <c r="O235" s="477" t="s">
        <v>248</v>
      </c>
      <c r="P235" s="478">
        <v>0.03</v>
      </c>
      <c r="Q235" s="188"/>
      <c r="R235" s="188"/>
      <c r="S235" s="188"/>
      <c r="T235" s="188"/>
      <c r="U235" s="188"/>
    </row>
    <row r="236" spans="1:21" s="70" customFormat="1">
      <c r="A236" s="370" t="s">
        <v>5</v>
      </c>
      <c r="B236" s="446" t="s">
        <v>1046</v>
      </c>
      <c r="C236" s="372"/>
      <c r="D236" s="353"/>
      <c r="E236" s="353"/>
      <c r="F236" s="353"/>
      <c r="G236" s="353"/>
      <c r="H236" s="353"/>
      <c r="I236" s="353"/>
      <c r="J236" s="353"/>
      <c r="K236" s="353"/>
      <c r="L236" s="353"/>
      <c r="M236" s="353"/>
      <c r="N236" s="353"/>
      <c r="O236" s="353"/>
      <c r="P236" s="353"/>
      <c r="Q236" s="353"/>
      <c r="R236" s="353"/>
      <c r="S236" s="353"/>
      <c r="T236" s="353"/>
      <c r="U236" s="353"/>
    </row>
    <row r="237" spans="1:21">
      <c r="A237" s="346" t="s">
        <v>7</v>
      </c>
      <c r="B237" s="188" t="s">
        <v>786</v>
      </c>
      <c r="C237" s="345"/>
      <c r="D237" s="188"/>
      <c r="E237" s="188"/>
      <c r="F237" s="188"/>
      <c r="G237" s="188"/>
      <c r="H237" s="188"/>
      <c r="I237" s="188"/>
      <c r="J237" s="188"/>
      <c r="K237" s="188"/>
      <c r="L237" s="188"/>
      <c r="M237" s="188"/>
      <c r="N237" s="188"/>
      <c r="O237" s="188"/>
      <c r="P237" s="188"/>
      <c r="Q237" s="188"/>
      <c r="R237" s="188"/>
      <c r="S237" s="188"/>
      <c r="T237" s="188"/>
      <c r="U237" s="188"/>
    </row>
    <row r="238" spans="1:21">
      <c r="A238" s="424" t="s">
        <v>9</v>
      </c>
      <c r="B238" s="188" t="s">
        <v>1047</v>
      </c>
      <c r="C238" s="345"/>
      <c r="D238" s="188"/>
      <c r="E238" s="188"/>
      <c r="F238" s="188"/>
      <c r="G238" s="188"/>
      <c r="H238" s="188"/>
      <c r="I238" s="188"/>
      <c r="J238" s="188"/>
      <c r="K238" s="188"/>
      <c r="L238" s="188"/>
      <c r="M238" s="188"/>
      <c r="N238" s="188"/>
      <c r="O238" s="188"/>
      <c r="P238" s="188"/>
      <c r="Q238" s="188"/>
      <c r="R238" s="188"/>
      <c r="S238" s="188"/>
      <c r="T238" s="188"/>
      <c r="U238" s="188"/>
    </row>
    <row r="239" spans="1:21" ht="15.75" customHeight="1">
      <c r="A239" s="346" t="s">
        <v>11</v>
      </c>
      <c r="B239" s="347" t="s">
        <v>796</v>
      </c>
      <c r="C239" s="188"/>
      <c r="D239" s="188"/>
      <c r="E239" s="188"/>
      <c r="F239" s="188"/>
      <c r="G239" s="188"/>
      <c r="H239" s="188"/>
      <c r="I239" s="188"/>
      <c r="J239" s="188"/>
      <c r="K239" s="188"/>
      <c r="L239" s="188"/>
      <c r="M239" s="188"/>
      <c r="N239" s="188"/>
      <c r="O239" s="188"/>
      <c r="P239" s="188"/>
      <c r="Q239" s="188"/>
      <c r="R239" s="188"/>
      <c r="S239" s="188"/>
      <c r="T239" s="188"/>
      <c r="U239" s="188"/>
    </row>
    <row r="240" spans="1:21">
      <c r="A240" s="346" t="s">
        <v>13</v>
      </c>
      <c r="B240" s="188" t="s">
        <v>14</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46" t="s">
        <v>15</v>
      </c>
      <c r="B241" s="415">
        <f>B247</f>
        <v>2.7000000000000006E-4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46" t="s">
        <v>16</v>
      </c>
      <c r="B242" s="188" t="s">
        <v>17</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46" t="s">
        <v>18</v>
      </c>
      <c r="B243" s="188" t="s">
        <v>609</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43" t="s">
        <v>19</v>
      </c>
      <c r="B244" s="188"/>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44" t="s">
        <v>20</v>
      </c>
      <c r="B245" s="344" t="s">
        <v>21</v>
      </c>
      <c r="C245" s="344" t="s">
        <v>18</v>
      </c>
      <c r="D245" s="344" t="s">
        <v>22</v>
      </c>
      <c r="E245" s="344" t="s">
        <v>7</v>
      </c>
      <c r="F245" s="344" t="s">
        <v>13</v>
      </c>
      <c r="G245" s="344" t="s">
        <v>16</v>
      </c>
      <c r="H245" s="344" t="s">
        <v>23</v>
      </c>
      <c r="I245" s="344" t="s">
        <v>24</v>
      </c>
      <c r="J245" s="344" t="s">
        <v>25</v>
      </c>
      <c r="K245" s="344" t="s">
        <v>26</v>
      </c>
      <c r="L245" s="344" t="s">
        <v>27</v>
      </c>
      <c r="M245" s="344" t="s">
        <v>28</v>
      </c>
      <c r="N245" s="344" t="s">
        <v>11</v>
      </c>
      <c r="O245" s="188"/>
      <c r="P245" s="188"/>
      <c r="Q245" s="188"/>
      <c r="R245" s="188"/>
      <c r="S245" s="188"/>
      <c r="T245" s="188"/>
      <c r="U245" s="188"/>
    </row>
    <row r="246" spans="1:21">
      <c r="A246" s="188" t="s">
        <v>1046</v>
      </c>
      <c r="B246" s="415">
        <f>2.7*0.0001</f>
        <v>2.7000000000000006E-4</v>
      </c>
      <c r="C246" s="188" t="s">
        <v>609</v>
      </c>
      <c r="D246" s="408" t="s">
        <v>2</v>
      </c>
      <c r="E246" s="188" t="s">
        <v>29</v>
      </c>
      <c r="F246" s="37" t="s">
        <v>14</v>
      </c>
      <c r="G246" s="188" t="s">
        <v>30</v>
      </c>
      <c r="H246" s="188">
        <v>1</v>
      </c>
      <c r="I246" s="415">
        <f>B246</f>
        <v>2.7000000000000006E-4</v>
      </c>
      <c r="J246" s="188" t="s">
        <v>31</v>
      </c>
      <c r="K246" s="188" t="s">
        <v>31</v>
      </c>
      <c r="L246" s="188" t="s">
        <v>31</v>
      </c>
      <c r="M246" s="188" t="s">
        <v>31</v>
      </c>
      <c r="N246" s="188"/>
      <c r="O246" s="188"/>
      <c r="P246" s="188"/>
      <c r="Q246" s="188"/>
      <c r="R246" s="188"/>
      <c r="S246" s="188"/>
      <c r="T246" s="188"/>
      <c r="U246" s="188"/>
    </row>
    <row r="247" spans="1:21">
      <c r="A247" s="88" t="s">
        <v>947</v>
      </c>
      <c r="B247" s="415">
        <f>2.7*0.0001</f>
        <v>2.7000000000000006E-4</v>
      </c>
      <c r="C247" s="188" t="s">
        <v>609</v>
      </c>
      <c r="D247" s="188" t="s">
        <v>40</v>
      </c>
      <c r="E247" s="188" t="s">
        <v>29</v>
      </c>
      <c r="F247" s="188" t="s">
        <v>59</v>
      </c>
      <c r="G247" s="188" t="s">
        <v>33</v>
      </c>
      <c r="H247" s="188">
        <v>2</v>
      </c>
      <c r="I247" s="188">
        <f>LN(B247)</f>
        <v>-8.2170885989658995</v>
      </c>
      <c r="J247" s="188">
        <v>3.7749172176353707E-2</v>
      </c>
      <c r="K247" s="188" t="s">
        <v>31</v>
      </c>
      <c r="L247" s="188" t="s">
        <v>31</v>
      </c>
      <c r="M247" s="188" t="s">
        <v>31</v>
      </c>
      <c r="N247" s="188"/>
      <c r="O247" s="188"/>
      <c r="P247" s="188"/>
      <c r="Q247" s="188"/>
      <c r="R247" s="188"/>
      <c r="S247" s="188"/>
      <c r="T247" s="188"/>
      <c r="U247" s="188"/>
    </row>
    <row r="248" spans="1:21" s="70" customFormat="1">
      <c r="A248" s="370" t="s">
        <v>5</v>
      </c>
      <c r="B248" s="371" t="s">
        <v>1045</v>
      </c>
      <c r="C248" s="353"/>
      <c r="D248" s="353"/>
      <c r="E248" s="353"/>
      <c r="F248" s="353"/>
      <c r="G248" s="353"/>
      <c r="H248" s="353"/>
      <c r="I248" s="353"/>
      <c r="J248" s="353"/>
      <c r="K248" s="353"/>
      <c r="L248" s="353"/>
      <c r="M248" s="353"/>
      <c r="N248" s="353"/>
      <c r="O248" s="353"/>
      <c r="P248" s="353"/>
      <c r="Q248" s="353"/>
      <c r="R248" s="353"/>
      <c r="S248" s="353"/>
      <c r="T248" s="353"/>
      <c r="U248" s="353"/>
    </row>
    <row r="249" spans="1:21">
      <c r="A249" s="346" t="s">
        <v>7</v>
      </c>
      <c r="B249" s="188" t="s">
        <v>786</v>
      </c>
      <c r="C249" s="345"/>
      <c r="D249" s="188"/>
      <c r="E249" s="188"/>
      <c r="F249" s="188"/>
      <c r="G249" s="188"/>
      <c r="H249" s="188"/>
      <c r="I249" s="188"/>
      <c r="J249" s="188"/>
      <c r="K249" s="188"/>
      <c r="L249" s="188"/>
      <c r="M249" s="188"/>
      <c r="N249" s="188"/>
      <c r="O249" s="188"/>
      <c r="P249" s="188"/>
      <c r="Q249" s="188"/>
      <c r="R249" s="188"/>
      <c r="S249" s="188"/>
      <c r="T249" s="188"/>
      <c r="U249" s="188"/>
    </row>
    <row r="250" spans="1:21">
      <c r="A250" s="424" t="s">
        <v>9</v>
      </c>
      <c r="B250" s="188" t="s">
        <v>1048</v>
      </c>
      <c r="C250" s="345"/>
      <c r="D250" s="188"/>
      <c r="E250" s="188"/>
      <c r="F250" s="188"/>
      <c r="G250" s="188"/>
      <c r="H250" s="188"/>
      <c r="I250" s="188"/>
      <c r="J250" s="188"/>
      <c r="K250" s="188"/>
      <c r="L250" s="188"/>
      <c r="M250" s="188"/>
      <c r="N250" s="188"/>
      <c r="O250" s="188"/>
      <c r="P250" s="188"/>
      <c r="Q250" s="188"/>
      <c r="R250" s="188"/>
      <c r="S250" s="188"/>
      <c r="T250" s="188"/>
      <c r="U250" s="188"/>
    </row>
    <row r="251" spans="1:21" ht="15.75" customHeight="1">
      <c r="A251" s="346" t="s">
        <v>11</v>
      </c>
      <c r="B251" s="347" t="s">
        <v>796</v>
      </c>
      <c r="C251" s="188"/>
      <c r="D251" s="188"/>
      <c r="E251" s="188"/>
      <c r="F251" s="188"/>
      <c r="G251" s="188"/>
      <c r="H251" s="188"/>
      <c r="I251" s="188"/>
      <c r="J251" s="188"/>
      <c r="K251" s="188"/>
      <c r="L251" s="188"/>
      <c r="M251" s="188"/>
      <c r="N251" s="188"/>
      <c r="O251" s="188"/>
      <c r="P251" s="188"/>
      <c r="Q251" s="188"/>
      <c r="R251" s="188"/>
      <c r="S251" s="188"/>
      <c r="T251" s="188"/>
      <c r="U251" s="188"/>
    </row>
    <row r="252" spans="1:21">
      <c r="A252" s="346" t="s">
        <v>13</v>
      </c>
      <c r="B252" s="188" t="s">
        <v>14</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46" t="s">
        <v>15</v>
      </c>
      <c r="B253" s="415">
        <f>B258</f>
        <v>1.4E-3</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46" t="s">
        <v>16</v>
      </c>
      <c r="B254" s="188" t="s">
        <v>17</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46" t="s">
        <v>18</v>
      </c>
      <c r="B255" s="188" t="s">
        <v>609</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43" t="s">
        <v>19</v>
      </c>
      <c r="B256" s="188"/>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44" t="s">
        <v>20</v>
      </c>
      <c r="B257" s="344" t="s">
        <v>21</v>
      </c>
      <c r="C257" s="344" t="s">
        <v>18</v>
      </c>
      <c r="D257" s="344" t="s">
        <v>22</v>
      </c>
      <c r="E257" s="344" t="s">
        <v>7</v>
      </c>
      <c r="F257" s="344" t="s">
        <v>13</v>
      </c>
      <c r="G257" s="344" t="s">
        <v>16</v>
      </c>
      <c r="H257" s="344" t="s">
        <v>23</v>
      </c>
      <c r="I257" s="344" t="s">
        <v>24</v>
      </c>
      <c r="J257" s="344" t="s">
        <v>25</v>
      </c>
      <c r="K257" s="344" t="s">
        <v>26</v>
      </c>
      <c r="L257" s="344" t="s">
        <v>27</v>
      </c>
      <c r="M257" s="344" t="s">
        <v>28</v>
      </c>
      <c r="N257" s="344" t="s">
        <v>11</v>
      </c>
      <c r="O257" s="188"/>
      <c r="P257" s="188"/>
      <c r="Q257" s="188"/>
      <c r="R257" s="188"/>
      <c r="S257" s="188"/>
      <c r="T257" s="188"/>
      <c r="U257" s="188"/>
    </row>
    <row r="258" spans="1:21">
      <c r="A258" s="188" t="s">
        <v>1045</v>
      </c>
      <c r="B258" s="415">
        <f>B259</f>
        <v>1.4E-3</v>
      </c>
      <c r="C258" s="188" t="s">
        <v>609</v>
      </c>
      <c r="D258" s="408" t="s">
        <v>2</v>
      </c>
      <c r="E258" s="188" t="s">
        <v>29</v>
      </c>
      <c r="F258" s="37" t="s">
        <v>14</v>
      </c>
      <c r="G258" s="188" t="s">
        <v>30</v>
      </c>
      <c r="H258" s="188">
        <v>1</v>
      </c>
      <c r="I258" s="415">
        <f t="shared" ref="I258:I259" si="31">B258</f>
        <v>1.4E-3</v>
      </c>
      <c r="J258" s="188" t="s">
        <v>31</v>
      </c>
      <c r="K258" s="188" t="s">
        <v>31</v>
      </c>
      <c r="L258" s="188" t="s">
        <v>31</v>
      </c>
      <c r="M258" s="188" t="s">
        <v>31</v>
      </c>
      <c r="N258" s="188"/>
      <c r="O258" s="188"/>
      <c r="P258" s="188"/>
      <c r="Q258" s="188"/>
      <c r="R258" s="188"/>
      <c r="S258" s="188"/>
      <c r="T258" s="188"/>
      <c r="U258" s="188"/>
    </row>
    <row r="259" spans="1:21">
      <c r="A259" s="188" t="s">
        <v>1049</v>
      </c>
      <c r="B259" s="415">
        <f>P259</f>
        <v>1.4E-3</v>
      </c>
      <c r="C259" s="188" t="s">
        <v>609</v>
      </c>
      <c r="D259" s="408" t="s">
        <v>2</v>
      </c>
      <c r="E259" s="188" t="s">
        <v>29</v>
      </c>
      <c r="F259" s="188" t="s">
        <v>14</v>
      </c>
      <c r="G259" s="188" t="s">
        <v>33</v>
      </c>
      <c r="H259" s="188">
        <v>1</v>
      </c>
      <c r="I259" s="415">
        <f t="shared" si="31"/>
        <v>1.4E-3</v>
      </c>
      <c r="J259" s="188" t="s">
        <v>31</v>
      </c>
      <c r="K259" s="188" t="s">
        <v>31</v>
      </c>
      <c r="L259" s="188" t="s">
        <v>31</v>
      </c>
      <c r="M259" s="188" t="s">
        <v>31</v>
      </c>
      <c r="N259" s="188"/>
      <c r="O259" s="188"/>
      <c r="P259" s="470">
        <v>1.4E-3</v>
      </c>
      <c r="Q259" s="188"/>
      <c r="R259" s="188"/>
      <c r="S259" s="188"/>
      <c r="T259" s="188"/>
      <c r="U259" s="188"/>
    </row>
    <row r="260" spans="1:21">
      <c r="A260" s="346" t="s">
        <v>269</v>
      </c>
      <c r="B260" s="350">
        <f>R260</f>
        <v>0.01</v>
      </c>
      <c r="C260" s="188" t="s">
        <v>39</v>
      </c>
      <c r="D260" s="188" t="s">
        <v>40</v>
      </c>
      <c r="E260" s="188" t="s">
        <v>29</v>
      </c>
      <c r="F260" s="37" t="s">
        <v>35</v>
      </c>
      <c r="G260" s="188" t="s">
        <v>33</v>
      </c>
      <c r="H260" s="188">
        <v>2</v>
      </c>
      <c r="I260" s="188">
        <f t="shared" ref="I260:I264" si="32">LN(B260)</f>
        <v>-4.6051701859880909</v>
      </c>
      <c r="J260" s="188">
        <v>0.20928449536456342</v>
      </c>
      <c r="K260" s="188" t="s">
        <v>31</v>
      </c>
      <c r="L260" s="188" t="s">
        <v>31</v>
      </c>
      <c r="M260" s="188" t="s">
        <v>31</v>
      </c>
      <c r="N260" s="188"/>
      <c r="O260" s="383" t="s">
        <v>248</v>
      </c>
      <c r="P260" s="414">
        <v>0.01</v>
      </c>
      <c r="Q260" s="188" t="s">
        <v>248</v>
      </c>
      <c r="R260" s="350">
        <f>P260</f>
        <v>0.01</v>
      </c>
      <c r="S260" s="188"/>
      <c r="T260" s="188"/>
      <c r="U260" s="188"/>
    </row>
    <row r="261" spans="1:21">
      <c r="A261" s="88" t="s">
        <v>798</v>
      </c>
      <c r="B261" s="188">
        <f>R261</f>
        <v>2.9999999999999997E-4</v>
      </c>
      <c r="C261" s="188" t="s">
        <v>37</v>
      </c>
      <c r="D261" s="188" t="s">
        <v>40</v>
      </c>
      <c r="E261" s="188" t="s">
        <v>29</v>
      </c>
      <c r="F261" s="37" t="s">
        <v>35</v>
      </c>
      <c r="G261" s="188" t="s">
        <v>33</v>
      </c>
      <c r="H261" s="188">
        <v>2</v>
      </c>
      <c r="I261" s="188">
        <f t="shared" si="32"/>
        <v>-8.1117280833080727</v>
      </c>
      <c r="J261" s="188">
        <v>0.20928449536456342</v>
      </c>
      <c r="K261" s="188" t="s">
        <v>31</v>
      </c>
      <c r="L261" s="188" t="s">
        <v>31</v>
      </c>
      <c r="M261" s="188" t="s">
        <v>31</v>
      </c>
      <c r="N261" s="188"/>
      <c r="O261" s="401" t="s">
        <v>580</v>
      </c>
      <c r="P261" s="414">
        <v>0.3</v>
      </c>
      <c r="Q261" s="188" t="s">
        <v>241</v>
      </c>
      <c r="R261" s="188">
        <f>0.001*P261</f>
        <v>2.9999999999999997E-4</v>
      </c>
      <c r="S261" s="188"/>
      <c r="T261" s="188"/>
      <c r="U261" s="188"/>
    </row>
    <row r="262" spans="1:21">
      <c r="A262" s="88" t="s">
        <v>308</v>
      </c>
      <c r="B262" s="188">
        <f>R262</f>
        <v>1E-4</v>
      </c>
      <c r="C262" s="188" t="s">
        <v>37</v>
      </c>
      <c r="D262" s="188" t="s">
        <v>40</v>
      </c>
      <c r="E262" s="188" t="s">
        <v>29</v>
      </c>
      <c r="F262" s="37" t="s">
        <v>59</v>
      </c>
      <c r="G262" s="188" t="s">
        <v>33</v>
      </c>
      <c r="H262" s="188">
        <v>2</v>
      </c>
      <c r="I262" s="188">
        <f t="shared" si="32"/>
        <v>-9.2103403719761818</v>
      </c>
      <c r="J262" s="188">
        <v>0.20928449536456342</v>
      </c>
      <c r="K262" s="188" t="s">
        <v>31</v>
      </c>
      <c r="L262" s="188" t="s">
        <v>31</v>
      </c>
      <c r="M262" s="188" t="s">
        <v>31</v>
      </c>
      <c r="N262" s="188"/>
      <c r="O262" s="401" t="s">
        <v>580</v>
      </c>
      <c r="P262" s="414">
        <v>0.1</v>
      </c>
      <c r="Q262" s="188" t="s">
        <v>241</v>
      </c>
      <c r="R262" s="188">
        <f>0.001*P262</f>
        <v>1E-4</v>
      </c>
      <c r="S262" s="188"/>
      <c r="T262" s="188"/>
      <c r="U262" s="188"/>
    </row>
    <row r="263" spans="1:21">
      <c r="A263" s="346" t="s">
        <v>799</v>
      </c>
      <c r="B263" s="188">
        <f>R263</f>
        <v>1.6999999999999999E-3</v>
      </c>
      <c r="C263" s="188" t="s">
        <v>37</v>
      </c>
      <c r="D263" s="188" t="s">
        <v>40</v>
      </c>
      <c r="E263" s="188" t="s">
        <v>29</v>
      </c>
      <c r="F263" s="37" t="s">
        <v>74</v>
      </c>
      <c r="G263" s="188" t="s">
        <v>33</v>
      </c>
      <c r="H263" s="188">
        <v>2</v>
      </c>
      <c r="I263" s="188">
        <f t="shared" si="32"/>
        <v>-6.3771270279199666</v>
      </c>
      <c r="J263" s="188">
        <v>0.20928449536456342</v>
      </c>
      <c r="K263" s="188" t="s">
        <v>31</v>
      </c>
      <c r="L263" s="188" t="s">
        <v>31</v>
      </c>
      <c r="M263" s="188" t="s">
        <v>31</v>
      </c>
      <c r="N263" s="188"/>
      <c r="O263" s="401" t="s">
        <v>580</v>
      </c>
      <c r="P263" s="414">
        <v>1.7</v>
      </c>
      <c r="Q263" s="188" t="s">
        <v>241</v>
      </c>
      <c r="R263" s="188">
        <f>0.001*P263</f>
        <v>1.6999999999999999E-3</v>
      </c>
      <c r="S263" s="188"/>
      <c r="T263" s="188"/>
      <c r="U263" s="188"/>
    </row>
    <row r="264" spans="1:21">
      <c r="A264" s="188" t="s">
        <v>784</v>
      </c>
      <c r="B264" s="188">
        <f>R264</f>
        <v>4.0000000000000002E-4</v>
      </c>
      <c r="C264" s="188" t="s">
        <v>37</v>
      </c>
      <c r="D264" s="408" t="s">
        <v>2</v>
      </c>
      <c r="E264" s="188" t="s">
        <v>29</v>
      </c>
      <c r="F264" s="37" t="s">
        <v>74</v>
      </c>
      <c r="G264" s="188" t="s">
        <v>33</v>
      </c>
      <c r="H264" s="188">
        <v>2</v>
      </c>
      <c r="I264" s="188">
        <f t="shared" si="32"/>
        <v>-7.8240460108562919</v>
      </c>
      <c r="J264" s="188">
        <v>0.20928449536456342</v>
      </c>
      <c r="K264" s="188" t="s">
        <v>31</v>
      </c>
      <c r="L264" s="188" t="s">
        <v>31</v>
      </c>
      <c r="M264" s="188" t="s">
        <v>31</v>
      </c>
      <c r="N264" s="188"/>
      <c r="O264" s="447" t="s">
        <v>580</v>
      </c>
      <c r="P264" s="419">
        <v>0.4</v>
      </c>
      <c r="Q264" s="188" t="s">
        <v>241</v>
      </c>
      <c r="R264" s="188">
        <f>0.001*P264</f>
        <v>4.0000000000000002E-4</v>
      </c>
      <c r="S264" s="188"/>
      <c r="T264" s="188"/>
      <c r="U264" s="188"/>
    </row>
    <row r="265" spans="1:21" s="70" customFormat="1">
      <c r="A265" s="370" t="s">
        <v>5</v>
      </c>
      <c r="B265" s="371" t="s">
        <v>1049</v>
      </c>
      <c r="C265" s="353"/>
      <c r="D265" s="353"/>
      <c r="E265" s="353"/>
      <c r="F265" s="353"/>
      <c r="G265" s="353"/>
      <c r="H265" s="353"/>
      <c r="I265" s="353"/>
      <c r="J265" s="353"/>
      <c r="K265" s="353"/>
      <c r="L265" s="353"/>
      <c r="M265" s="353"/>
      <c r="N265" s="353"/>
      <c r="O265" s="353"/>
      <c r="P265" s="353"/>
      <c r="Q265" s="353"/>
      <c r="R265" s="353"/>
      <c r="S265" s="353"/>
      <c r="T265" s="353"/>
      <c r="U265" s="353"/>
    </row>
    <row r="266" spans="1:21">
      <c r="A266" s="346" t="s">
        <v>7</v>
      </c>
      <c r="B266" s="188" t="s">
        <v>786</v>
      </c>
      <c r="C266" s="345"/>
      <c r="D266" s="188"/>
      <c r="E266" s="188"/>
      <c r="F266" s="188"/>
      <c r="G266" s="188"/>
      <c r="H266" s="188"/>
      <c r="I266" s="188"/>
      <c r="J266" s="188"/>
      <c r="K266" s="188"/>
      <c r="L266" s="188"/>
      <c r="M266" s="188"/>
      <c r="N266" s="188"/>
      <c r="O266" s="188"/>
      <c r="P266" s="188"/>
      <c r="Q266" s="188"/>
      <c r="R266" s="188"/>
      <c r="S266" s="188"/>
      <c r="T266" s="188"/>
      <c r="U266" s="188"/>
    </row>
    <row r="267" spans="1:21">
      <c r="A267" s="424" t="s">
        <v>9</v>
      </c>
      <c r="B267" s="188" t="s">
        <v>1050</v>
      </c>
      <c r="C267" s="345"/>
      <c r="D267" s="188"/>
      <c r="E267" s="188"/>
      <c r="F267" s="188"/>
      <c r="G267" s="188"/>
      <c r="H267" s="188"/>
      <c r="I267" s="188"/>
      <c r="J267" s="188"/>
      <c r="K267" s="188"/>
      <c r="L267" s="188"/>
      <c r="M267" s="188"/>
      <c r="N267" s="188"/>
      <c r="O267" s="188"/>
      <c r="P267" s="188"/>
      <c r="Q267" s="188"/>
      <c r="R267" s="188"/>
      <c r="S267" s="188"/>
      <c r="T267" s="188"/>
      <c r="U267" s="188"/>
    </row>
    <row r="268" spans="1:21" ht="15.75" customHeight="1">
      <c r="A268" s="346" t="s">
        <v>11</v>
      </c>
      <c r="B268" s="347" t="s">
        <v>796</v>
      </c>
      <c r="C268" s="188"/>
      <c r="D268" s="188"/>
      <c r="E268" s="188"/>
      <c r="F268" s="188"/>
      <c r="G268" s="188"/>
      <c r="H268" s="188"/>
      <c r="I268" s="188"/>
      <c r="J268" s="188"/>
      <c r="K268" s="188"/>
      <c r="L268" s="188"/>
      <c r="M268" s="188"/>
      <c r="N268" s="188"/>
      <c r="O268" s="188"/>
      <c r="P268" s="188"/>
      <c r="Q268" s="188"/>
      <c r="R268" s="188"/>
      <c r="S268" s="188"/>
      <c r="T268" s="188"/>
      <c r="U268" s="188"/>
    </row>
    <row r="269" spans="1:21">
      <c r="A269" s="346" t="s">
        <v>13</v>
      </c>
      <c r="B269" s="188" t="s">
        <v>14</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46" t="s">
        <v>15</v>
      </c>
      <c r="B270" s="415">
        <f>B275</f>
        <v>1.4E-3</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46" t="s">
        <v>16</v>
      </c>
      <c r="B271" s="188" t="s">
        <v>17</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46" t="s">
        <v>18</v>
      </c>
      <c r="B272" s="188" t="s">
        <v>609</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43" t="s">
        <v>19</v>
      </c>
      <c r="B273" s="188"/>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44" t="s">
        <v>20</v>
      </c>
      <c r="B274" s="344" t="s">
        <v>21</v>
      </c>
      <c r="C274" s="344" t="s">
        <v>18</v>
      </c>
      <c r="D274" s="344" t="s">
        <v>22</v>
      </c>
      <c r="E274" s="344" t="s">
        <v>7</v>
      </c>
      <c r="F274" s="344" t="s">
        <v>13</v>
      </c>
      <c r="G274" s="344" t="s">
        <v>16</v>
      </c>
      <c r="H274" s="344" t="s">
        <v>23</v>
      </c>
      <c r="I274" s="344" t="s">
        <v>24</v>
      </c>
      <c r="J274" s="344" t="s">
        <v>25</v>
      </c>
      <c r="K274" s="344" t="s">
        <v>26</v>
      </c>
      <c r="L274" s="344" t="s">
        <v>27</v>
      </c>
      <c r="M274" s="344" t="s">
        <v>28</v>
      </c>
      <c r="N274" s="344" t="s">
        <v>11</v>
      </c>
      <c r="O274" s="188"/>
      <c r="P274" s="188"/>
      <c r="Q274" s="188"/>
      <c r="R274" s="188"/>
      <c r="S274" s="188"/>
      <c r="T274" s="188"/>
      <c r="U274" s="188"/>
    </row>
    <row r="275" spans="1:21">
      <c r="A275" s="188" t="s">
        <v>1049</v>
      </c>
      <c r="B275" s="415">
        <v>1.4E-3</v>
      </c>
      <c r="C275" s="188" t="s">
        <v>609</v>
      </c>
      <c r="D275" s="408" t="s">
        <v>2</v>
      </c>
      <c r="E275" s="188" t="s">
        <v>29</v>
      </c>
      <c r="F275" s="188" t="s">
        <v>14</v>
      </c>
      <c r="G275" s="188" t="s">
        <v>30</v>
      </c>
      <c r="H275" s="188">
        <v>1</v>
      </c>
      <c r="I275" s="415">
        <f t="shared" ref="I275:I276" si="33">B275</f>
        <v>1.4E-3</v>
      </c>
      <c r="J275" s="188" t="s">
        <v>31</v>
      </c>
      <c r="K275" s="188" t="s">
        <v>31</v>
      </c>
      <c r="L275" s="188" t="s">
        <v>31</v>
      </c>
      <c r="M275" s="188" t="s">
        <v>31</v>
      </c>
      <c r="N275" s="188"/>
      <c r="O275" s="188"/>
      <c r="P275" s="188"/>
      <c r="Q275" s="188"/>
      <c r="R275" s="188"/>
      <c r="S275" s="188"/>
      <c r="T275" s="188"/>
      <c r="U275" s="188"/>
    </row>
    <row r="276" spans="1:21">
      <c r="A276" s="188" t="s">
        <v>1051</v>
      </c>
      <c r="B276" s="415">
        <f>P276</f>
        <v>1.4E-3</v>
      </c>
      <c r="C276" s="188" t="s">
        <v>609</v>
      </c>
      <c r="D276" s="408" t="s">
        <v>2</v>
      </c>
      <c r="E276" s="188" t="s">
        <v>29</v>
      </c>
      <c r="F276" s="188" t="s">
        <v>14</v>
      </c>
      <c r="G276" s="188" t="s">
        <v>33</v>
      </c>
      <c r="H276" s="188">
        <v>1</v>
      </c>
      <c r="I276" s="415">
        <f t="shared" si="33"/>
        <v>1.4E-3</v>
      </c>
      <c r="J276" s="188" t="s">
        <v>31</v>
      </c>
      <c r="K276" s="188" t="s">
        <v>31</v>
      </c>
      <c r="L276" s="188" t="s">
        <v>31</v>
      </c>
      <c r="M276" s="188" t="s">
        <v>31</v>
      </c>
      <c r="N276" s="188"/>
      <c r="O276" s="188"/>
      <c r="P276" s="470">
        <v>1.4E-3</v>
      </c>
      <c r="Q276" s="188"/>
      <c r="R276" s="188"/>
      <c r="S276" s="188"/>
      <c r="T276" s="188"/>
      <c r="U276" s="188"/>
    </row>
    <row r="277" spans="1:21">
      <c r="A277" s="346" t="s">
        <v>269</v>
      </c>
      <c r="B277" s="350">
        <f>P277</f>
        <v>0.23</v>
      </c>
      <c r="C277" s="188" t="s">
        <v>39</v>
      </c>
      <c r="D277" s="188" t="s">
        <v>40</v>
      </c>
      <c r="E277" s="188" t="s">
        <v>29</v>
      </c>
      <c r="F277" s="37" t="s">
        <v>35</v>
      </c>
      <c r="G277" s="188" t="s">
        <v>33</v>
      </c>
      <c r="H277" s="188">
        <v>2</v>
      </c>
      <c r="I277" s="188">
        <f t="shared" ref="I277:I278" si="34">LN(B277)</f>
        <v>-1.4696759700589417</v>
      </c>
      <c r="J277" s="188">
        <v>0.20928449536456342</v>
      </c>
      <c r="K277" s="188" t="s">
        <v>31</v>
      </c>
      <c r="L277" s="188" t="s">
        <v>31</v>
      </c>
      <c r="M277" s="188" t="s">
        <v>31</v>
      </c>
      <c r="N277" s="188"/>
      <c r="O277" s="401" t="s">
        <v>248</v>
      </c>
      <c r="P277" s="414">
        <f>0.16+0.07</f>
        <v>0.23</v>
      </c>
      <c r="Q277" s="188"/>
      <c r="R277" s="188"/>
      <c r="S277" s="188"/>
      <c r="T277" s="188"/>
      <c r="U277" s="188"/>
    </row>
    <row r="278" spans="1:21">
      <c r="A278" s="346" t="s">
        <v>799</v>
      </c>
      <c r="B278" s="350">
        <f>R278</f>
        <v>5.0000000000000001E-4</v>
      </c>
      <c r="C278" s="188" t="s">
        <v>37</v>
      </c>
      <c r="D278" s="188" t="s">
        <v>40</v>
      </c>
      <c r="E278" s="188" t="s">
        <v>29</v>
      </c>
      <c r="F278" s="37" t="s">
        <v>74</v>
      </c>
      <c r="G278" s="188" t="s">
        <v>33</v>
      </c>
      <c r="H278" s="188">
        <v>2</v>
      </c>
      <c r="I278" s="188">
        <f t="shared" si="34"/>
        <v>-7.6009024595420822</v>
      </c>
      <c r="J278" s="188">
        <v>0.20928449536456342</v>
      </c>
      <c r="K278" s="188" t="s">
        <v>31</v>
      </c>
      <c r="L278" s="188" t="s">
        <v>31</v>
      </c>
      <c r="M278" s="188" t="s">
        <v>31</v>
      </c>
      <c r="N278" s="188"/>
      <c r="O278" s="401" t="s">
        <v>580</v>
      </c>
      <c r="P278" s="414">
        <v>0.5</v>
      </c>
      <c r="Q278" s="188" t="s">
        <v>241</v>
      </c>
      <c r="R278" s="188">
        <f>P278*0.001</f>
        <v>5.0000000000000001E-4</v>
      </c>
      <c r="S278" s="188"/>
      <c r="T278" s="188"/>
      <c r="U278" s="188"/>
    </row>
    <row r="279" spans="1:21">
      <c r="A279" s="88" t="s">
        <v>545</v>
      </c>
      <c r="B279" s="350">
        <f t="shared" ref="B279:B280" si="35">R279</f>
        <v>5.0000000000000001E-4</v>
      </c>
      <c r="C279" s="188" t="s">
        <v>37</v>
      </c>
      <c r="D279" s="188" t="s">
        <v>40</v>
      </c>
      <c r="E279" s="188" t="s">
        <v>29</v>
      </c>
      <c r="F279" s="188" t="s">
        <v>35</v>
      </c>
      <c r="G279" s="188" t="s">
        <v>33</v>
      </c>
      <c r="H279" s="188">
        <v>2</v>
      </c>
      <c r="I279" s="188">
        <f>LN(B279)</f>
        <v>-7.6009024595420822</v>
      </c>
      <c r="J279" s="188">
        <v>0.20928449536456342</v>
      </c>
      <c r="K279" s="188" t="s">
        <v>31</v>
      </c>
      <c r="L279" s="188" t="s">
        <v>31</v>
      </c>
      <c r="M279" s="188" t="s">
        <v>31</v>
      </c>
      <c r="N279" s="188"/>
      <c r="O279" s="401" t="s">
        <v>580</v>
      </c>
      <c r="P279" s="414">
        <v>0.6</v>
      </c>
      <c r="Q279" s="188" t="s">
        <v>241</v>
      </c>
      <c r="R279" s="188">
        <f>P278*0.001</f>
        <v>5.0000000000000001E-4</v>
      </c>
      <c r="S279" s="188"/>
      <c r="T279" s="188"/>
      <c r="U279" s="188"/>
    </row>
    <row r="280" spans="1:21">
      <c r="A280" s="188" t="s">
        <v>784</v>
      </c>
      <c r="B280" s="350">
        <f t="shared" si="35"/>
        <v>5.9999999999999995E-4</v>
      </c>
      <c r="C280" s="188" t="s">
        <v>37</v>
      </c>
      <c r="D280" s="408" t="s">
        <v>2</v>
      </c>
      <c r="E280" s="188" t="s">
        <v>29</v>
      </c>
      <c r="F280" s="37" t="s">
        <v>74</v>
      </c>
      <c r="G280" s="188" t="s">
        <v>33</v>
      </c>
      <c r="H280" s="188">
        <v>2</v>
      </c>
      <c r="I280" s="188">
        <f t="shared" ref="I280" si="36">LN(B280)</f>
        <v>-7.4185809027481282</v>
      </c>
      <c r="J280" s="188">
        <v>0.20928449536456342</v>
      </c>
      <c r="K280" s="188" t="s">
        <v>31</v>
      </c>
      <c r="L280" s="188" t="s">
        <v>31</v>
      </c>
      <c r="M280" s="188" t="s">
        <v>31</v>
      </c>
      <c r="N280" s="188"/>
      <c r="O280" s="447" t="s">
        <v>580</v>
      </c>
      <c r="P280" s="419">
        <v>0.6</v>
      </c>
      <c r="Q280" s="188" t="s">
        <v>241</v>
      </c>
      <c r="R280" s="188">
        <f>0.001*P279</f>
        <v>5.9999999999999995E-4</v>
      </c>
      <c r="S280" s="188"/>
      <c r="T280" s="188"/>
      <c r="U280" s="188"/>
    </row>
    <row r="281" spans="1:21" s="70" customFormat="1">
      <c r="A281" s="370" t="s">
        <v>5</v>
      </c>
      <c r="B281" s="371" t="s">
        <v>1051</v>
      </c>
      <c r="C281" s="353"/>
      <c r="D281" s="353"/>
      <c r="E281" s="353"/>
      <c r="F281" s="353"/>
      <c r="G281" s="353"/>
      <c r="H281" s="353"/>
      <c r="I281" s="353"/>
      <c r="J281" s="353"/>
      <c r="K281" s="353"/>
      <c r="L281" s="353"/>
      <c r="M281" s="353"/>
      <c r="N281" s="353"/>
      <c r="O281" s="353"/>
      <c r="P281" s="353"/>
      <c r="Q281" s="353"/>
      <c r="R281" s="353"/>
      <c r="S281" s="353"/>
      <c r="T281" s="353"/>
      <c r="U281" s="353"/>
    </row>
    <row r="282" spans="1:21">
      <c r="A282" s="346" t="s">
        <v>7</v>
      </c>
      <c r="B282" s="188" t="s">
        <v>786</v>
      </c>
      <c r="C282" s="345"/>
      <c r="D282" s="188"/>
      <c r="E282" s="188"/>
      <c r="F282" s="188"/>
      <c r="G282" s="188"/>
      <c r="H282" s="188"/>
      <c r="I282" s="188"/>
      <c r="J282" s="188"/>
      <c r="K282" s="188"/>
      <c r="L282" s="188"/>
      <c r="M282" s="188"/>
      <c r="N282" s="188"/>
      <c r="O282" s="188"/>
      <c r="P282" s="188"/>
      <c r="Q282" s="188"/>
      <c r="R282" s="188"/>
      <c r="S282" s="188"/>
      <c r="T282" s="188"/>
      <c r="U282" s="188"/>
    </row>
    <row r="283" spans="1:21">
      <c r="A283" s="424" t="s">
        <v>9</v>
      </c>
      <c r="B283" s="188" t="s">
        <v>1052</v>
      </c>
      <c r="C283" s="345"/>
      <c r="D283" s="188"/>
      <c r="E283" s="188"/>
      <c r="F283" s="188"/>
      <c r="G283" s="188"/>
      <c r="H283" s="188"/>
      <c r="I283" s="188"/>
      <c r="J283" s="188"/>
      <c r="K283" s="188"/>
      <c r="L283" s="188"/>
      <c r="M283" s="188"/>
      <c r="N283" s="188"/>
      <c r="O283" s="188"/>
      <c r="P283" s="188"/>
      <c r="Q283" s="188"/>
      <c r="R283" s="188"/>
      <c r="S283" s="188"/>
      <c r="T283" s="188"/>
      <c r="U283" s="188"/>
    </row>
    <row r="284" spans="1:21" ht="15.75" customHeight="1">
      <c r="A284" s="346" t="s">
        <v>11</v>
      </c>
      <c r="B284" s="347" t="s">
        <v>796</v>
      </c>
      <c r="C284" s="188"/>
      <c r="D284" s="188"/>
      <c r="E284" s="188"/>
      <c r="F284" s="188"/>
      <c r="G284" s="188"/>
      <c r="H284" s="188"/>
      <c r="I284" s="188"/>
      <c r="J284" s="188"/>
      <c r="K284" s="188"/>
      <c r="L284" s="188"/>
      <c r="M284" s="188"/>
      <c r="N284" s="188"/>
      <c r="O284" s="188"/>
      <c r="P284" s="188"/>
      <c r="Q284" s="188"/>
      <c r="R284" s="188"/>
      <c r="S284" s="188"/>
      <c r="T284" s="188"/>
      <c r="U284" s="188"/>
    </row>
    <row r="285" spans="1:21">
      <c r="A285" s="346" t="s">
        <v>13</v>
      </c>
      <c r="B285" s="188" t="s">
        <v>14</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46" t="s">
        <v>15</v>
      </c>
      <c r="B286" s="415">
        <f>B291</f>
        <v>2.47E-3</v>
      </c>
      <c r="C286" s="188"/>
      <c r="D286" s="188"/>
      <c r="E286" s="188"/>
      <c r="F286" s="188"/>
      <c r="G286" s="188"/>
      <c r="H286" s="188"/>
      <c r="I286" s="188"/>
      <c r="J286" s="188"/>
      <c r="K286" s="188"/>
      <c r="L286" s="188"/>
      <c r="M286" s="188"/>
      <c r="N286" s="188"/>
      <c r="O286" s="188"/>
      <c r="P286" s="188"/>
      <c r="Q286" s="188"/>
      <c r="R286" s="344" t="s">
        <v>885</v>
      </c>
      <c r="S286" s="188"/>
      <c r="T286" s="188"/>
      <c r="U286" s="188"/>
    </row>
    <row r="287" spans="1:21">
      <c r="A287" s="346" t="s">
        <v>16</v>
      </c>
      <c r="B287" s="188" t="s">
        <v>17</v>
      </c>
      <c r="C287" s="188"/>
      <c r="D287" s="188"/>
      <c r="E287" s="188"/>
      <c r="F287" s="188"/>
      <c r="G287" s="188"/>
      <c r="H287" s="188"/>
      <c r="I287" s="188"/>
      <c r="J287" s="188"/>
      <c r="K287" s="188"/>
      <c r="L287" s="188"/>
      <c r="M287" s="188"/>
      <c r="N287" s="188"/>
      <c r="O287" s="188"/>
      <c r="P287" s="188"/>
      <c r="Q287" s="188"/>
      <c r="R287" s="188" t="s">
        <v>886</v>
      </c>
      <c r="S287" s="188">
        <v>8900</v>
      </c>
      <c r="T287" s="188" t="s">
        <v>887</v>
      </c>
      <c r="U287" s="188"/>
    </row>
    <row r="288" spans="1:21">
      <c r="A288" s="346" t="s">
        <v>18</v>
      </c>
      <c r="B288" s="188" t="s">
        <v>609</v>
      </c>
      <c r="C288" s="188"/>
      <c r="D288" s="188"/>
      <c r="E288" s="188"/>
      <c r="F288" s="188"/>
      <c r="G288" s="188"/>
      <c r="H288" s="188"/>
      <c r="I288" s="188"/>
      <c r="J288" s="188"/>
      <c r="K288" s="188"/>
      <c r="L288" s="188"/>
      <c r="M288" s="188"/>
      <c r="N288" s="188"/>
      <c r="O288" s="188"/>
      <c r="P288" s="188"/>
      <c r="Q288" s="188"/>
      <c r="R288" s="188" t="s">
        <v>888</v>
      </c>
      <c r="S288" s="188">
        <f>5*10^-6</f>
        <v>4.9999999999999996E-6</v>
      </c>
      <c r="T288" s="188" t="s">
        <v>889</v>
      </c>
      <c r="U288" s="188"/>
    </row>
    <row r="289" spans="1:21">
      <c r="A289" s="343" t="s">
        <v>19</v>
      </c>
      <c r="B289" s="188"/>
      <c r="C289" s="188"/>
      <c r="D289" s="188"/>
      <c r="E289" s="188"/>
      <c r="F289" s="188"/>
      <c r="G289" s="188"/>
      <c r="H289" s="188"/>
      <c r="I289" s="188"/>
      <c r="J289" s="188"/>
      <c r="K289" s="188"/>
      <c r="L289" s="188"/>
      <c r="M289" s="188"/>
      <c r="N289" s="188"/>
      <c r="O289" s="188"/>
      <c r="P289" s="188"/>
      <c r="Q289" s="188"/>
      <c r="R289" s="427" t="s">
        <v>890</v>
      </c>
      <c r="S289" s="428">
        <f>S288*S287</f>
        <v>4.4499999999999998E-2</v>
      </c>
      <c r="T289" s="429" t="s">
        <v>891</v>
      </c>
      <c r="U289" s="188"/>
    </row>
    <row r="290" spans="1:21">
      <c r="A290" s="344" t="s">
        <v>20</v>
      </c>
      <c r="B290" s="344" t="s">
        <v>21</v>
      </c>
      <c r="C290" s="344" t="s">
        <v>18</v>
      </c>
      <c r="D290" s="344" t="s">
        <v>22</v>
      </c>
      <c r="E290" s="344" t="s">
        <v>7</v>
      </c>
      <c r="F290" s="344" t="s">
        <v>13</v>
      </c>
      <c r="G290" s="344" t="s">
        <v>16</v>
      </c>
      <c r="H290" s="344" t="s">
        <v>23</v>
      </c>
      <c r="I290" s="344" t="s">
        <v>24</v>
      </c>
      <c r="J290" s="344" t="s">
        <v>25</v>
      </c>
      <c r="K290" s="344" t="s">
        <v>26</v>
      </c>
      <c r="L290" s="344" t="s">
        <v>27</v>
      </c>
      <c r="M290" s="344" t="s">
        <v>28</v>
      </c>
      <c r="N290" s="344" t="s">
        <v>11</v>
      </c>
      <c r="O290" s="188"/>
      <c r="P290" s="188"/>
      <c r="Q290" s="188"/>
      <c r="R290" s="188"/>
      <c r="S290" s="188"/>
      <c r="T290" s="188"/>
      <c r="U290" s="188"/>
    </row>
    <row r="291" spans="1:21">
      <c r="A291" s="188" t="s">
        <v>1051</v>
      </c>
      <c r="B291" s="455">
        <v>2.47E-3</v>
      </c>
      <c r="C291" s="188" t="s">
        <v>609</v>
      </c>
      <c r="D291" s="408" t="s">
        <v>2</v>
      </c>
      <c r="E291" s="188" t="s">
        <v>29</v>
      </c>
      <c r="F291" s="188" t="s">
        <v>14</v>
      </c>
      <c r="G291" s="188" t="s">
        <v>30</v>
      </c>
      <c r="H291" s="188">
        <v>1</v>
      </c>
      <c r="I291" s="415">
        <f t="shared" ref="I291:I293" si="37">B291</f>
        <v>2.47E-3</v>
      </c>
      <c r="J291" s="188" t="s">
        <v>31</v>
      </c>
      <c r="K291" s="188" t="s">
        <v>31</v>
      </c>
      <c r="L291" s="188" t="s">
        <v>31</v>
      </c>
      <c r="M291" s="188" t="s">
        <v>31</v>
      </c>
      <c r="N291" s="188"/>
      <c r="O291" s="401" t="s">
        <v>892</v>
      </c>
      <c r="P291" s="414">
        <f>B291*100</f>
        <v>0.247</v>
      </c>
      <c r="Q291" s="188"/>
      <c r="R291" s="188" t="s">
        <v>554</v>
      </c>
      <c r="S291" s="188"/>
      <c r="T291" s="188"/>
      <c r="U291" s="410"/>
    </row>
    <row r="292" spans="1:21">
      <c r="A292" s="188" t="s">
        <v>1053</v>
      </c>
      <c r="B292" s="455">
        <v>2.47E-3</v>
      </c>
      <c r="C292" s="188" t="s">
        <v>609</v>
      </c>
      <c r="D292" s="408" t="s">
        <v>2</v>
      </c>
      <c r="E292" s="188" t="s">
        <v>29</v>
      </c>
      <c r="F292" s="188" t="s">
        <v>14</v>
      </c>
      <c r="G292" s="188" t="s">
        <v>33</v>
      </c>
      <c r="H292" s="188">
        <v>1</v>
      </c>
      <c r="I292" s="415">
        <f t="shared" si="37"/>
        <v>2.47E-3</v>
      </c>
      <c r="J292" s="188">
        <v>7.2284161474004766E-2</v>
      </c>
      <c r="K292" s="188" t="s">
        <v>31</v>
      </c>
      <c r="L292" s="188" t="s">
        <v>31</v>
      </c>
      <c r="M292" s="188" t="s">
        <v>31</v>
      </c>
      <c r="N292" s="188"/>
      <c r="O292" s="401" t="s">
        <v>892</v>
      </c>
      <c r="P292" s="414">
        <f>B292*100</f>
        <v>0.247</v>
      </c>
      <c r="Q292" s="188"/>
      <c r="R292" s="430">
        <v>0.1</v>
      </c>
      <c r="S292" s="431" t="s">
        <v>610</v>
      </c>
      <c r="T292" s="430">
        <f>R292*S289</f>
        <v>4.45E-3</v>
      </c>
      <c r="U292" s="431" t="s">
        <v>241</v>
      </c>
    </row>
    <row r="293" spans="1:21">
      <c r="A293" s="192" t="s">
        <v>994</v>
      </c>
      <c r="B293" s="420">
        <f>T292</f>
        <v>4.45E-3</v>
      </c>
      <c r="C293" s="188" t="s">
        <v>37</v>
      </c>
      <c r="D293" s="408" t="s">
        <v>2</v>
      </c>
      <c r="E293" s="188" t="s">
        <v>29</v>
      </c>
      <c r="F293" s="37" t="s">
        <v>14</v>
      </c>
      <c r="G293" s="188" t="s">
        <v>33</v>
      </c>
      <c r="H293" s="188">
        <v>1</v>
      </c>
      <c r="I293" s="415">
        <f t="shared" si="37"/>
        <v>4.45E-3</v>
      </c>
      <c r="J293" s="188">
        <v>7.2284161474004766E-2</v>
      </c>
      <c r="K293" s="188" t="s">
        <v>31</v>
      </c>
      <c r="L293" s="188" t="s">
        <v>31</v>
      </c>
      <c r="M293" s="188" t="s">
        <v>31</v>
      </c>
      <c r="N293" s="188"/>
      <c r="O293" s="432"/>
      <c r="P293" s="433"/>
      <c r="Q293" s="188"/>
      <c r="R293" s="188"/>
      <c r="S293" s="188"/>
      <c r="T293" s="188"/>
      <c r="U293" s="188"/>
    </row>
    <row r="294" spans="1:21">
      <c r="A294" s="346" t="s">
        <v>799</v>
      </c>
      <c r="B294" s="188">
        <f>P294</f>
        <v>0.8</v>
      </c>
      <c r="C294" s="188" t="s">
        <v>37</v>
      </c>
      <c r="D294" s="188" t="s">
        <v>40</v>
      </c>
      <c r="E294" s="188" t="s">
        <v>29</v>
      </c>
      <c r="F294" s="37" t="s">
        <v>74</v>
      </c>
      <c r="G294" s="188" t="s">
        <v>33</v>
      </c>
      <c r="H294" s="188">
        <v>2</v>
      </c>
      <c r="I294" s="188">
        <f t="shared" ref="I294" si="38">LN(B294)</f>
        <v>-0.22314355131420971</v>
      </c>
      <c r="J294" s="188">
        <v>7.2284161474004766E-2</v>
      </c>
      <c r="K294" s="188" t="s">
        <v>31</v>
      </c>
      <c r="L294" s="188" t="s">
        <v>31</v>
      </c>
      <c r="M294" s="188" t="s">
        <v>31</v>
      </c>
      <c r="N294" s="188"/>
      <c r="O294" s="401" t="s">
        <v>241</v>
      </c>
      <c r="P294" s="414">
        <v>0.8</v>
      </c>
      <c r="Q294" s="188"/>
      <c r="R294" s="188"/>
      <c r="S294" s="188"/>
      <c r="T294" s="188"/>
      <c r="U294" s="188"/>
    </row>
    <row r="295" spans="1:21">
      <c r="A295" s="88" t="s">
        <v>874</v>
      </c>
      <c r="B295" s="350">
        <f>R295</f>
        <v>1E-8</v>
      </c>
      <c r="C295" s="188" t="s">
        <v>37</v>
      </c>
      <c r="D295" s="188" t="s">
        <v>40</v>
      </c>
      <c r="E295" s="188" t="s">
        <v>29</v>
      </c>
      <c r="F295" s="37" t="s">
        <v>59</v>
      </c>
      <c r="G295" s="188" t="s">
        <v>33</v>
      </c>
      <c r="H295" s="188">
        <v>2</v>
      </c>
      <c r="I295" s="188">
        <f>LN(B295)</f>
        <v>-18.420680743952367</v>
      </c>
      <c r="J295" s="188">
        <v>7.2284161474004766E-2</v>
      </c>
      <c r="K295" s="188" t="s">
        <v>31</v>
      </c>
      <c r="L295" s="188" t="s">
        <v>31</v>
      </c>
      <c r="M295" s="188" t="s">
        <v>31</v>
      </c>
      <c r="N295" s="188"/>
      <c r="O295" s="416" t="s">
        <v>538</v>
      </c>
      <c r="P295" s="439">
        <v>1.0000000000000001E-5</v>
      </c>
      <c r="Q295" s="401" t="s">
        <v>241</v>
      </c>
      <c r="R295" s="188">
        <f>P295*0.001</f>
        <v>1E-8</v>
      </c>
      <c r="S295" s="188"/>
      <c r="T295" s="188"/>
      <c r="U295" s="188"/>
    </row>
    <row r="296" spans="1:21">
      <c r="A296" s="88" t="s">
        <v>76</v>
      </c>
      <c r="B296" s="188">
        <f>R296</f>
        <v>8.0000000000000004E-4</v>
      </c>
      <c r="C296" s="188" t="s">
        <v>42</v>
      </c>
      <c r="D296" s="188" t="s">
        <v>40</v>
      </c>
      <c r="E296" s="188" t="s">
        <v>29</v>
      </c>
      <c r="F296" s="37" t="s">
        <v>74</v>
      </c>
      <c r="G296" s="188" t="s">
        <v>33</v>
      </c>
      <c r="H296" s="188">
        <v>2</v>
      </c>
      <c r="I296" s="188">
        <f t="shared" ref="I296" si="39">LN(B296)</f>
        <v>-7.1308988302963465</v>
      </c>
      <c r="J296" s="188">
        <v>7.2284161474004766E-2</v>
      </c>
      <c r="K296" s="188" t="s">
        <v>31</v>
      </c>
      <c r="L296" s="188" t="s">
        <v>31</v>
      </c>
      <c r="M296" s="188" t="s">
        <v>31</v>
      </c>
      <c r="N296" s="188"/>
      <c r="O296" s="418" t="s">
        <v>863</v>
      </c>
      <c r="P296" s="419">
        <v>0.8</v>
      </c>
      <c r="Q296" s="188" t="s">
        <v>251</v>
      </c>
      <c r="R296" s="188">
        <f>P296*0.001</f>
        <v>8.0000000000000004E-4</v>
      </c>
      <c r="S296" s="188"/>
      <c r="T296" s="188"/>
      <c r="U296" s="188"/>
    </row>
    <row r="297" spans="1:21" s="70" customFormat="1">
      <c r="A297" s="370" t="s">
        <v>5</v>
      </c>
      <c r="B297" s="371" t="s">
        <v>1053</v>
      </c>
      <c r="C297" s="353"/>
      <c r="D297" s="353"/>
      <c r="E297" s="353"/>
      <c r="F297" s="353"/>
      <c r="G297" s="353"/>
      <c r="H297" s="353"/>
      <c r="I297" s="353"/>
      <c r="J297" s="353"/>
      <c r="K297" s="353"/>
      <c r="L297" s="353"/>
      <c r="M297" s="353"/>
      <c r="N297" s="353"/>
      <c r="O297" s="353"/>
      <c r="P297" s="353"/>
      <c r="Q297" s="353"/>
      <c r="R297" s="353"/>
      <c r="S297" s="353"/>
      <c r="T297" s="353"/>
      <c r="U297" s="353"/>
    </row>
    <row r="298" spans="1:21">
      <c r="A298" s="346" t="s">
        <v>7</v>
      </c>
      <c r="B298" s="188" t="s">
        <v>786</v>
      </c>
      <c r="C298" s="345"/>
      <c r="D298" s="188"/>
      <c r="E298" s="188"/>
      <c r="F298" s="188"/>
      <c r="G298" s="188"/>
      <c r="H298" s="188"/>
      <c r="I298" s="188"/>
      <c r="J298" s="188"/>
      <c r="K298" s="188"/>
      <c r="L298" s="188"/>
      <c r="M298" s="188"/>
      <c r="N298" s="188"/>
      <c r="O298" s="188"/>
      <c r="P298" s="188"/>
      <c r="Q298" s="188"/>
      <c r="R298" s="188"/>
      <c r="S298" s="188"/>
      <c r="T298" s="188"/>
      <c r="U298" s="188"/>
    </row>
    <row r="299" spans="1:21">
      <c r="A299" s="424" t="s">
        <v>9</v>
      </c>
      <c r="B299" s="188" t="s">
        <v>1054</v>
      </c>
      <c r="C299" s="345"/>
      <c r="D299" s="188"/>
      <c r="E299" s="188"/>
      <c r="F299" s="188"/>
      <c r="G299" s="188"/>
      <c r="H299" s="188"/>
      <c r="I299" s="188"/>
      <c r="J299" s="188"/>
      <c r="K299" s="188"/>
      <c r="L299" s="188"/>
      <c r="M299" s="188"/>
      <c r="N299" s="188"/>
      <c r="O299" s="188"/>
      <c r="P299" s="188"/>
      <c r="Q299" s="188"/>
      <c r="R299" s="188"/>
      <c r="S299" s="188"/>
      <c r="T299" s="188"/>
      <c r="U299" s="188"/>
    </row>
    <row r="300" spans="1:21" ht="15.75" customHeight="1">
      <c r="A300" s="346" t="s">
        <v>11</v>
      </c>
      <c r="B300" s="347" t="s">
        <v>796</v>
      </c>
      <c r="C300" s="188"/>
      <c r="D300" s="188"/>
      <c r="E300" s="188"/>
      <c r="F300" s="188"/>
      <c r="G300" s="188"/>
      <c r="H300" s="188"/>
      <c r="I300" s="188"/>
      <c r="J300" s="188"/>
      <c r="K300" s="188"/>
      <c r="L300" s="188"/>
      <c r="M300" s="188"/>
      <c r="N300" s="188"/>
      <c r="O300" s="188"/>
      <c r="P300" s="188"/>
      <c r="Q300" s="188"/>
      <c r="R300" s="188"/>
      <c r="S300" s="188"/>
      <c r="T300" s="188"/>
      <c r="U300" s="188"/>
    </row>
    <row r="301" spans="1:21">
      <c r="A301" s="346" t="s">
        <v>13</v>
      </c>
      <c r="B301" s="188" t="s">
        <v>14</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46" t="s">
        <v>15</v>
      </c>
      <c r="B302" s="415">
        <f>B307</f>
        <v>1.4E-3</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46" t="s">
        <v>16</v>
      </c>
      <c r="B303" s="188" t="s">
        <v>17</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46" t="s">
        <v>18</v>
      </c>
      <c r="B304" s="188" t="s">
        <v>609</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43" t="s">
        <v>19</v>
      </c>
      <c r="B305" s="188"/>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44" t="s">
        <v>20</v>
      </c>
      <c r="B306" s="344" t="s">
        <v>21</v>
      </c>
      <c r="C306" s="344" t="s">
        <v>18</v>
      </c>
      <c r="D306" s="344" t="s">
        <v>22</v>
      </c>
      <c r="E306" s="344" t="s">
        <v>7</v>
      </c>
      <c r="F306" s="344" t="s">
        <v>13</v>
      </c>
      <c r="G306" s="344" t="s">
        <v>16</v>
      </c>
      <c r="H306" s="344" t="s">
        <v>23</v>
      </c>
      <c r="I306" s="344" t="s">
        <v>24</v>
      </c>
      <c r="J306" s="344" t="s">
        <v>25</v>
      </c>
      <c r="K306" s="344" t="s">
        <v>26</v>
      </c>
      <c r="L306" s="344" t="s">
        <v>27</v>
      </c>
      <c r="M306" s="344" t="s">
        <v>28</v>
      </c>
      <c r="N306" s="344" t="s">
        <v>11</v>
      </c>
      <c r="O306" s="188"/>
      <c r="P306" s="188"/>
      <c r="Q306" s="188"/>
      <c r="R306" s="188"/>
      <c r="S306" s="188"/>
      <c r="T306" s="415"/>
      <c r="U306" s="188"/>
    </row>
    <row r="307" spans="1:21">
      <c r="A307" s="188" t="s">
        <v>1053</v>
      </c>
      <c r="B307" s="415">
        <f t="shared" ref="B307:B317" si="40">P307</f>
        <v>1.4E-3</v>
      </c>
      <c r="C307" s="188" t="s">
        <v>609</v>
      </c>
      <c r="D307" s="408" t="s">
        <v>2</v>
      </c>
      <c r="E307" s="188" t="s">
        <v>29</v>
      </c>
      <c r="F307" s="188" t="s">
        <v>14</v>
      </c>
      <c r="G307" s="188" t="s">
        <v>30</v>
      </c>
      <c r="H307" s="188">
        <v>1</v>
      </c>
      <c r="I307" s="415">
        <f t="shared" ref="I307:I308" si="41">B307</f>
        <v>1.4E-3</v>
      </c>
      <c r="J307" s="188" t="s">
        <v>31</v>
      </c>
      <c r="K307" s="188" t="s">
        <v>31</v>
      </c>
      <c r="L307" s="188" t="s">
        <v>31</v>
      </c>
      <c r="M307" s="188" t="s">
        <v>31</v>
      </c>
      <c r="N307" s="188"/>
      <c r="O307" s="188"/>
      <c r="P307" s="469">
        <v>1.4E-3</v>
      </c>
      <c r="Q307" s="188"/>
      <c r="R307" s="188"/>
      <c r="S307" s="188"/>
      <c r="T307" s="188"/>
      <c r="U307" s="188"/>
    </row>
    <row r="308" spans="1:21">
      <c r="A308" s="188" t="s">
        <v>1055</v>
      </c>
      <c r="B308" s="415">
        <f t="shared" si="40"/>
        <v>1.4E-3</v>
      </c>
      <c r="C308" s="188" t="s">
        <v>609</v>
      </c>
      <c r="D308" s="408" t="s">
        <v>2</v>
      </c>
      <c r="E308" s="188" t="s">
        <v>29</v>
      </c>
      <c r="F308" s="188" t="s">
        <v>14</v>
      </c>
      <c r="G308" s="188" t="s">
        <v>33</v>
      </c>
      <c r="H308" s="188">
        <v>1</v>
      </c>
      <c r="I308" s="415">
        <f t="shared" si="41"/>
        <v>1.4E-3</v>
      </c>
      <c r="J308" s="188" t="s">
        <v>31</v>
      </c>
      <c r="K308" s="188" t="s">
        <v>31</v>
      </c>
      <c r="L308" s="188" t="s">
        <v>31</v>
      </c>
      <c r="M308" s="188" t="s">
        <v>31</v>
      </c>
      <c r="N308" s="188"/>
      <c r="O308" s="188"/>
      <c r="P308" s="454">
        <v>1.4E-3</v>
      </c>
      <c r="Q308" s="188"/>
      <c r="R308" s="188"/>
      <c r="S308" s="188"/>
      <c r="T308" s="188"/>
      <c r="U308" s="188"/>
    </row>
    <row r="309" spans="1:21">
      <c r="A309" s="346" t="s">
        <v>269</v>
      </c>
      <c r="B309" s="350">
        <f t="shared" si="40"/>
        <v>1.7999999999999999E-2</v>
      </c>
      <c r="C309" s="188" t="s">
        <v>39</v>
      </c>
      <c r="D309" s="188" t="s">
        <v>40</v>
      </c>
      <c r="E309" s="188" t="s">
        <v>29</v>
      </c>
      <c r="F309" s="37" t="s">
        <v>35</v>
      </c>
      <c r="G309" s="188" t="s">
        <v>33</v>
      </c>
      <c r="H309" s="188">
        <v>2</v>
      </c>
      <c r="I309" s="188">
        <f t="shared" ref="I309" si="42">LN(B309)</f>
        <v>-4.0173835210859723</v>
      </c>
      <c r="J309" s="188">
        <v>0.22500000000000006</v>
      </c>
      <c r="K309" s="188" t="s">
        <v>31</v>
      </c>
      <c r="L309" s="188" t="s">
        <v>31</v>
      </c>
      <c r="M309" s="188" t="s">
        <v>31</v>
      </c>
      <c r="N309" s="188"/>
      <c r="O309" s="401" t="s">
        <v>248</v>
      </c>
      <c r="P309" s="414">
        <v>1.7999999999999999E-2</v>
      </c>
      <c r="Q309" s="188"/>
      <c r="R309" s="188"/>
      <c r="S309" s="188"/>
      <c r="T309" s="188"/>
      <c r="U309" s="188"/>
    </row>
    <row r="310" spans="1:21">
      <c r="A310" s="88" t="s">
        <v>680</v>
      </c>
      <c r="B310" s="415">
        <f t="shared" si="40"/>
        <v>8.0000000000000004E-4</v>
      </c>
      <c r="C310" s="188" t="s">
        <v>37</v>
      </c>
      <c r="D310" s="188" t="s">
        <v>40</v>
      </c>
      <c r="E310" s="188" t="s">
        <v>29</v>
      </c>
      <c r="F310" s="188" t="s">
        <v>35</v>
      </c>
      <c r="G310" s="188" t="s">
        <v>33</v>
      </c>
      <c r="H310" s="188">
        <v>2</v>
      </c>
      <c r="I310" s="188">
        <f>LN(B310)</f>
        <v>-7.1308988302963465</v>
      </c>
      <c r="J310" s="188">
        <v>0.22500000000000006</v>
      </c>
      <c r="K310" s="188" t="s">
        <v>31</v>
      </c>
      <c r="L310" s="188" t="s">
        <v>31</v>
      </c>
      <c r="M310" s="188" t="s">
        <v>31</v>
      </c>
      <c r="N310" s="188"/>
      <c r="O310" s="401" t="s">
        <v>241</v>
      </c>
      <c r="P310" s="452">
        <v>8.0000000000000004E-4</v>
      </c>
      <c r="Q310" s="188"/>
      <c r="R310" s="188"/>
      <c r="S310" s="188"/>
      <c r="T310" s="188"/>
      <c r="U310" s="188"/>
    </row>
    <row r="311" spans="1:21">
      <c r="A311" s="188" t="s">
        <v>957</v>
      </c>
      <c r="B311" s="415">
        <f t="shared" si="40"/>
        <v>1.8E-3</v>
      </c>
      <c r="C311" s="188" t="s">
        <v>37</v>
      </c>
      <c r="D311" s="188" t="s">
        <v>40</v>
      </c>
      <c r="E311" s="188" t="s">
        <v>29</v>
      </c>
      <c r="F311" s="188" t="s">
        <v>59</v>
      </c>
      <c r="G311" s="188" t="s">
        <v>33</v>
      </c>
      <c r="H311" s="188">
        <v>2</v>
      </c>
      <c r="I311" s="188">
        <f t="shared" ref="I311:I317" si="43">LN(B311)</f>
        <v>-6.3199686140800182</v>
      </c>
      <c r="J311" s="188">
        <v>0.22500000000000006</v>
      </c>
      <c r="K311" s="188" t="s">
        <v>31</v>
      </c>
      <c r="L311" s="188" t="s">
        <v>31</v>
      </c>
      <c r="M311" s="188" t="s">
        <v>31</v>
      </c>
      <c r="N311" s="188"/>
      <c r="O311" s="401" t="s">
        <v>241</v>
      </c>
      <c r="P311" s="452">
        <v>1.8E-3</v>
      </c>
      <c r="Q311" s="188"/>
      <c r="R311" s="188"/>
      <c r="S311" s="188"/>
      <c r="T311" s="188"/>
      <c r="U311" s="188"/>
    </row>
    <row r="312" spans="1:21">
      <c r="A312" s="88" t="s">
        <v>545</v>
      </c>
      <c r="B312" s="415">
        <f t="shared" si="40"/>
        <v>8.0000000000000004E-4</v>
      </c>
      <c r="C312" s="188" t="s">
        <v>37</v>
      </c>
      <c r="D312" s="188" t="s">
        <v>40</v>
      </c>
      <c r="E312" s="188" t="s">
        <v>29</v>
      </c>
      <c r="F312" s="188" t="s">
        <v>35</v>
      </c>
      <c r="G312" s="188" t="s">
        <v>33</v>
      </c>
      <c r="H312" s="188">
        <v>2</v>
      </c>
      <c r="I312" s="188">
        <f t="shared" si="43"/>
        <v>-7.1308988302963465</v>
      </c>
      <c r="J312" s="188">
        <v>0.22500000000000006</v>
      </c>
      <c r="K312" s="188" t="s">
        <v>31</v>
      </c>
      <c r="L312" s="188" t="s">
        <v>31</v>
      </c>
      <c r="M312" s="188" t="s">
        <v>31</v>
      </c>
      <c r="N312" s="188"/>
      <c r="O312" s="401" t="s">
        <v>241</v>
      </c>
      <c r="P312" s="452">
        <v>8.0000000000000004E-4</v>
      </c>
      <c r="Q312" s="188"/>
      <c r="R312" s="188"/>
      <c r="S312" s="188"/>
      <c r="T312" s="188"/>
      <c r="U312" s="188"/>
    </row>
    <row r="313" spans="1:21">
      <c r="A313" s="88" t="s">
        <v>958</v>
      </c>
      <c r="B313" s="415">
        <f t="shared" si="40"/>
        <v>5.9999999999999995E-4</v>
      </c>
      <c r="C313" s="188" t="s">
        <v>37</v>
      </c>
      <c r="D313" s="188" t="s">
        <v>40</v>
      </c>
      <c r="E313" s="188" t="s">
        <v>29</v>
      </c>
      <c r="F313" s="188" t="s">
        <v>59</v>
      </c>
      <c r="G313" s="188" t="s">
        <v>33</v>
      </c>
      <c r="H313" s="188">
        <v>2</v>
      </c>
      <c r="I313" s="188">
        <f t="shared" si="43"/>
        <v>-7.4185809027481282</v>
      </c>
      <c r="J313" s="188">
        <v>0.22500000000000006</v>
      </c>
      <c r="K313" s="188" t="s">
        <v>31</v>
      </c>
      <c r="L313" s="188" t="s">
        <v>31</v>
      </c>
      <c r="M313" s="188" t="s">
        <v>31</v>
      </c>
      <c r="N313" s="188"/>
      <c r="O313" s="401" t="s">
        <v>241</v>
      </c>
      <c r="P313" s="452">
        <v>5.9999999999999995E-4</v>
      </c>
      <c r="Q313" s="188"/>
      <c r="R313" s="188"/>
      <c r="S313" s="188"/>
      <c r="T313" s="188"/>
      <c r="U313" s="188"/>
    </row>
    <row r="314" spans="1:21">
      <c r="A314" s="88" t="s">
        <v>193</v>
      </c>
      <c r="B314" s="415">
        <f t="shared" si="40"/>
        <v>1.8E-3</v>
      </c>
      <c r="C314" s="188" t="s">
        <v>37</v>
      </c>
      <c r="D314" s="188" t="s">
        <v>40</v>
      </c>
      <c r="E314" s="188" t="s">
        <v>29</v>
      </c>
      <c r="F314" s="188" t="s">
        <v>59</v>
      </c>
      <c r="G314" s="188" t="s">
        <v>33</v>
      </c>
      <c r="H314" s="188">
        <v>2</v>
      </c>
      <c r="I314" s="188">
        <f t="shared" si="43"/>
        <v>-6.3199686140800182</v>
      </c>
      <c r="J314" s="188">
        <v>0.22500000000000006</v>
      </c>
      <c r="K314" s="188" t="s">
        <v>31</v>
      </c>
      <c r="L314" s="188" t="s">
        <v>31</v>
      </c>
      <c r="M314" s="188" t="s">
        <v>31</v>
      </c>
      <c r="N314" s="188"/>
      <c r="O314" s="401" t="s">
        <v>241</v>
      </c>
      <c r="P314" s="452">
        <v>1.8E-3</v>
      </c>
      <c r="Q314" s="188"/>
      <c r="R314" s="188"/>
      <c r="S314" s="188"/>
      <c r="T314" s="188"/>
      <c r="U314" s="188"/>
    </row>
    <row r="315" spans="1:21">
      <c r="A315" s="346" t="s">
        <v>799</v>
      </c>
      <c r="B315" s="415">
        <f t="shared" si="40"/>
        <v>3.2599999999999997E-2</v>
      </c>
      <c r="C315" s="188" t="s">
        <v>37</v>
      </c>
      <c r="D315" s="188" t="s">
        <v>40</v>
      </c>
      <c r="E315" s="188" t="s">
        <v>29</v>
      </c>
      <c r="F315" s="37" t="s">
        <v>74</v>
      </c>
      <c r="G315" s="188" t="s">
        <v>33</v>
      </c>
      <c r="H315" s="188">
        <v>2</v>
      </c>
      <c r="I315" s="188">
        <f t="shared" si="43"/>
        <v>-3.423442990609475</v>
      </c>
      <c r="J315" s="188">
        <v>0.22500000000000006</v>
      </c>
      <c r="K315" s="188" t="s">
        <v>31</v>
      </c>
      <c r="L315" s="188" t="s">
        <v>31</v>
      </c>
      <c r="M315" s="188" t="s">
        <v>31</v>
      </c>
      <c r="N315" s="188"/>
      <c r="O315" s="401" t="s">
        <v>241</v>
      </c>
      <c r="P315" s="452">
        <v>3.2599999999999997E-2</v>
      </c>
      <c r="Q315" s="188"/>
      <c r="R315" s="188"/>
      <c r="S315" s="188"/>
      <c r="T315" s="188"/>
      <c r="U315" s="188"/>
    </row>
    <row r="316" spans="1:21">
      <c r="A316" s="88" t="s">
        <v>758</v>
      </c>
      <c r="B316" s="415">
        <f t="shared" si="40"/>
        <v>2.9999999999999997E-4</v>
      </c>
      <c r="C316" s="188" t="s">
        <v>37</v>
      </c>
      <c r="D316" s="188" t="s">
        <v>43</v>
      </c>
      <c r="E316" s="188" t="s">
        <v>44</v>
      </c>
      <c r="F316" s="188" t="s">
        <v>29</v>
      </c>
      <c r="G316" s="188" t="s">
        <v>45</v>
      </c>
      <c r="H316" s="188">
        <v>2</v>
      </c>
      <c r="I316" s="188">
        <f t="shared" si="43"/>
        <v>-8.1117280833080727</v>
      </c>
      <c r="J316" s="188">
        <v>0.22500000000000006</v>
      </c>
      <c r="K316" s="188" t="s">
        <v>31</v>
      </c>
      <c r="L316" s="188" t="s">
        <v>31</v>
      </c>
      <c r="M316" s="188" t="s">
        <v>31</v>
      </c>
      <c r="N316" s="188"/>
      <c r="O316" s="416" t="s">
        <v>241</v>
      </c>
      <c r="P316" s="417">
        <v>2.9999999999999997E-4</v>
      </c>
      <c r="Q316" s="188"/>
      <c r="R316" s="188"/>
      <c r="S316" s="188"/>
      <c r="T316" s="188"/>
      <c r="U316" s="188"/>
    </row>
    <row r="317" spans="1:21">
      <c r="A317" s="188" t="s">
        <v>784</v>
      </c>
      <c r="B317" s="415">
        <f t="shared" si="40"/>
        <v>5.7999999999999996E-3</v>
      </c>
      <c r="C317" s="188" t="s">
        <v>37</v>
      </c>
      <c r="D317" s="408" t="s">
        <v>2</v>
      </c>
      <c r="E317" s="188" t="s">
        <v>29</v>
      </c>
      <c r="F317" s="37" t="s">
        <v>74</v>
      </c>
      <c r="G317" s="188" t="s">
        <v>33</v>
      </c>
      <c r="H317" s="188">
        <v>2</v>
      </c>
      <c r="I317" s="188">
        <f t="shared" si="43"/>
        <v>-5.1498973614297636</v>
      </c>
      <c r="J317" s="188">
        <v>0.22500000000000006</v>
      </c>
      <c r="K317" s="188" t="s">
        <v>31</v>
      </c>
      <c r="L317" s="188" t="s">
        <v>31</v>
      </c>
      <c r="M317" s="188" t="s">
        <v>31</v>
      </c>
      <c r="N317" s="188"/>
      <c r="O317" s="418" t="s">
        <v>241</v>
      </c>
      <c r="P317" s="453">
        <v>5.7999999999999996E-3</v>
      </c>
      <c r="Q317" s="188"/>
      <c r="R317" s="188"/>
      <c r="S317" s="188"/>
      <c r="T317" s="188"/>
      <c r="U317" s="188"/>
    </row>
    <row r="318" spans="1:21" s="70" customFormat="1">
      <c r="A318" s="370" t="s">
        <v>5</v>
      </c>
      <c r="B318" s="371" t="s">
        <v>1055</v>
      </c>
      <c r="C318" s="353"/>
      <c r="D318" s="353"/>
      <c r="E318" s="353"/>
      <c r="F318" s="353"/>
      <c r="G318" s="353"/>
      <c r="H318" s="353"/>
      <c r="I318" s="353"/>
      <c r="J318" s="353"/>
      <c r="K318" s="353"/>
      <c r="L318" s="353"/>
      <c r="M318" s="353"/>
      <c r="N318" s="353"/>
      <c r="O318" s="353"/>
      <c r="P318" s="353"/>
      <c r="Q318" s="353"/>
      <c r="R318" s="353"/>
      <c r="S318" s="353"/>
      <c r="T318" s="353"/>
      <c r="U318" s="353"/>
    </row>
    <row r="319" spans="1:21">
      <c r="A319" s="346" t="s">
        <v>7</v>
      </c>
      <c r="B319" s="188" t="s">
        <v>786</v>
      </c>
      <c r="C319" s="345"/>
      <c r="D319" s="188"/>
      <c r="E319" s="188"/>
      <c r="F319" s="188"/>
      <c r="G319" s="188"/>
      <c r="H319" s="188"/>
      <c r="I319" s="188"/>
      <c r="J319" s="188"/>
      <c r="K319" s="188"/>
      <c r="L319" s="188"/>
      <c r="M319" s="188"/>
      <c r="N319" s="188"/>
      <c r="O319" s="188"/>
      <c r="P319" s="188"/>
      <c r="Q319" s="188"/>
      <c r="R319" s="188"/>
      <c r="S319" s="188"/>
      <c r="T319" s="188"/>
      <c r="U319" s="188"/>
    </row>
    <row r="320" spans="1:21">
      <c r="A320" s="424" t="s">
        <v>9</v>
      </c>
      <c r="B320" s="188" t="s">
        <v>1056</v>
      </c>
      <c r="C320" s="345"/>
      <c r="D320" s="188"/>
      <c r="E320" s="188"/>
      <c r="F320" s="188"/>
      <c r="G320" s="188"/>
      <c r="H320" s="188"/>
      <c r="I320" s="188"/>
      <c r="J320" s="188"/>
      <c r="K320" s="188"/>
      <c r="L320" s="188"/>
      <c r="M320" s="188"/>
      <c r="N320" s="188"/>
      <c r="O320" s="188"/>
      <c r="P320" s="188"/>
      <c r="Q320" s="188"/>
      <c r="R320" s="188"/>
      <c r="S320" s="188"/>
      <c r="T320" s="188"/>
      <c r="U320" s="188"/>
    </row>
    <row r="321" spans="1:21" ht="15.75" customHeight="1">
      <c r="A321" s="346" t="s">
        <v>11</v>
      </c>
      <c r="B321" s="347" t="s">
        <v>796</v>
      </c>
      <c r="C321" s="188"/>
      <c r="D321" s="188"/>
      <c r="E321" s="188"/>
      <c r="F321" s="188"/>
      <c r="G321" s="188"/>
      <c r="H321" s="188"/>
      <c r="I321" s="188"/>
      <c r="J321" s="188"/>
      <c r="K321" s="188"/>
      <c r="L321" s="188"/>
      <c r="M321" s="188"/>
      <c r="N321" s="188"/>
      <c r="O321" s="188"/>
      <c r="P321" s="188"/>
      <c r="Q321" s="188"/>
      <c r="R321" s="188"/>
      <c r="S321" s="188"/>
      <c r="T321" s="188"/>
      <c r="U321" s="188"/>
    </row>
    <row r="322" spans="1:21">
      <c r="A322" s="346" t="s">
        <v>13</v>
      </c>
      <c r="B322" s="188" t="s">
        <v>14</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46" t="s">
        <v>15</v>
      </c>
      <c r="B323" s="415">
        <f>B328</f>
        <v>1.4E-3</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46" t="s">
        <v>16</v>
      </c>
      <c r="B324" s="188" t="s">
        <v>17</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46" t="s">
        <v>18</v>
      </c>
      <c r="B325" s="188" t="s">
        <v>609</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43" t="s">
        <v>19</v>
      </c>
      <c r="B326" s="188"/>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44" t="s">
        <v>20</v>
      </c>
      <c r="B327" s="344" t="s">
        <v>21</v>
      </c>
      <c r="C327" s="344" t="s">
        <v>18</v>
      </c>
      <c r="D327" s="344" t="s">
        <v>22</v>
      </c>
      <c r="E327" s="344" t="s">
        <v>7</v>
      </c>
      <c r="F327" s="344" t="s">
        <v>13</v>
      </c>
      <c r="G327" s="344" t="s">
        <v>16</v>
      </c>
      <c r="H327" s="344" t="s">
        <v>23</v>
      </c>
      <c r="I327" s="344" t="s">
        <v>24</v>
      </c>
      <c r="J327" s="344" t="s">
        <v>25</v>
      </c>
      <c r="K327" s="344" t="s">
        <v>26</v>
      </c>
      <c r="L327" s="344" t="s">
        <v>27</v>
      </c>
      <c r="M327" s="344" t="s">
        <v>28</v>
      </c>
      <c r="N327" s="344" t="s">
        <v>11</v>
      </c>
      <c r="O327" s="188"/>
      <c r="P327" s="188"/>
      <c r="Q327" s="188"/>
      <c r="R327" s="188"/>
      <c r="S327" s="188"/>
      <c r="T327" s="415"/>
      <c r="U327" s="188"/>
    </row>
    <row r="328" spans="1:21">
      <c r="A328" s="188" t="s">
        <v>1055</v>
      </c>
      <c r="B328" s="415">
        <f>P329</f>
        <v>1.4E-3</v>
      </c>
      <c r="C328" s="188" t="s">
        <v>609</v>
      </c>
      <c r="D328" s="408" t="s">
        <v>2</v>
      </c>
      <c r="E328" s="188" t="s">
        <v>29</v>
      </c>
      <c r="F328" s="188" t="s">
        <v>14</v>
      </c>
      <c r="G328" s="188" t="s">
        <v>30</v>
      </c>
      <c r="H328" s="188">
        <v>1</v>
      </c>
      <c r="I328" s="415">
        <f t="shared" ref="I328:I330" si="44">B328</f>
        <v>1.4E-3</v>
      </c>
      <c r="J328" s="188" t="s">
        <v>31</v>
      </c>
      <c r="K328" s="188" t="s">
        <v>31</v>
      </c>
      <c r="L328" s="188" t="s">
        <v>31</v>
      </c>
      <c r="M328" s="188" t="s">
        <v>31</v>
      </c>
      <c r="N328" s="188"/>
      <c r="O328" s="188"/>
      <c r="P328" s="188"/>
      <c r="Q328" s="188"/>
      <c r="R328" s="188"/>
      <c r="S328" s="188"/>
      <c r="T328" s="188"/>
      <c r="U328" s="188"/>
    </row>
    <row r="329" spans="1:21">
      <c r="A329" s="192" t="s">
        <v>1057</v>
      </c>
      <c r="B329" s="415">
        <f>P329</f>
        <v>1.4E-3</v>
      </c>
      <c r="C329" s="188" t="s">
        <v>609</v>
      </c>
      <c r="D329" s="408" t="s">
        <v>2</v>
      </c>
      <c r="E329" s="188" t="s">
        <v>29</v>
      </c>
      <c r="F329" s="188" t="s">
        <v>14</v>
      </c>
      <c r="G329" s="188" t="s">
        <v>33</v>
      </c>
      <c r="H329" s="188">
        <v>1</v>
      </c>
      <c r="I329" s="415">
        <f t="shared" si="44"/>
        <v>1.4E-3</v>
      </c>
      <c r="J329" s="188">
        <v>2.8722813232690055E-2</v>
      </c>
      <c r="K329" s="188" t="s">
        <v>31</v>
      </c>
      <c r="L329" s="188" t="s">
        <v>31</v>
      </c>
      <c r="M329" s="188" t="s">
        <v>31</v>
      </c>
      <c r="N329" s="188"/>
      <c r="O329" s="396" t="s">
        <v>823</v>
      </c>
      <c r="P329" s="454">
        <v>1.4E-3</v>
      </c>
      <c r="Q329" s="188"/>
      <c r="R329" s="188"/>
      <c r="S329" s="188"/>
      <c r="T329" s="188"/>
      <c r="U329" s="188"/>
    </row>
    <row r="330" spans="1:21">
      <c r="A330" s="188" t="s">
        <v>997</v>
      </c>
      <c r="B330" s="188">
        <f>R330</f>
        <v>1.4E-2</v>
      </c>
      <c r="C330" s="188" t="s">
        <v>241</v>
      </c>
      <c r="D330" s="408" t="s">
        <v>2</v>
      </c>
      <c r="E330" s="188" t="s">
        <v>29</v>
      </c>
      <c r="F330" s="188" t="s">
        <v>14</v>
      </c>
      <c r="G330" s="188" t="s">
        <v>33</v>
      </c>
      <c r="H330" s="188">
        <v>1</v>
      </c>
      <c r="I330" s="415">
        <f t="shared" si="44"/>
        <v>1.4E-2</v>
      </c>
      <c r="J330" s="188">
        <v>2.8722813232690055E-2</v>
      </c>
      <c r="K330" s="188" t="s">
        <v>31</v>
      </c>
      <c r="L330" s="188" t="s">
        <v>31</v>
      </c>
      <c r="M330" s="188" t="s">
        <v>31</v>
      </c>
      <c r="N330" s="188"/>
      <c r="O330" s="396" t="s">
        <v>580</v>
      </c>
      <c r="P330" s="455">
        <v>14</v>
      </c>
      <c r="Q330" s="188" t="s">
        <v>241</v>
      </c>
      <c r="R330" s="188">
        <f>P330*0.001</f>
        <v>1.4E-2</v>
      </c>
      <c r="S330" s="188"/>
      <c r="T330" s="188"/>
      <c r="U330" s="188"/>
    </row>
    <row r="331" spans="1:21">
      <c r="A331" s="346" t="s">
        <v>269</v>
      </c>
      <c r="B331" s="350">
        <f>P331</f>
        <v>1E-3</v>
      </c>
      <c r="C331" s="188" t="s">
        <v>39</v>
      </c>
      <c r="D331" s="188" t="s">
        <v>40</v>
      </c>
      <c r="E331" s="188" t="s">
        <v>29</v>
      </c>
      <c r="F331" s="37" t="s">
        <v>35</v>
      </c>
      <c r="G331" s="188" t="s">
        <v>33</v>
      </c>
      <c r="H331" s="188">
        <v>2</v>
      </c>
      <c r="I331" s="188">
        <f t="shared" ref="I331:I333" si="45">LN(B331)</f>
        <v>-6.9077552789821368</v>
      </c>
      <c r="J331" s="188">
        <v>0.20928449536456342</v>
      </c>
      <c r="K331" s="188" t="s">
        <v>31</v>
      </c>
      <c r="L331" s="188" t="s">
        <v>31</v>
      </c>
      <c r="M331" s="188" t="s">
        <v>31</v>
      </c>
      <c r="N331" s="188"/>
      <c r="O331" s="401" t="s">
        <v>248</v>
      </c>
      <c r="P331" s="452">
        <v>1E-3</v>
      </c>
      <c r="Q331" s="188"/>
      <c r="R331" s="188"/>
      <c r="S331" s="188"/>
      <c r="T331" s="188"/>
      <c r="U331" s="188"/>
    </row>
    <row r="332" spans="1:21">
      <c r="A332" s="346" t="s">
        <v>269</v>
      </c>
      <c r="B332" s="350">
        <f>P332</f>
        <v>0.08</v>
      </c>
      <c r="C332" s="188" t="s">
        <v>39</v>
      </c>
      <c r="D332" s="188" t="s">
        <v>40</v>
      </c>
      <c r="E332" s="188" t="s">
        <v>29</v>
      </c>
      <c r="F332" s="37" t="s">
        <v>35</v>
      </c>
      <c r="G332" s="188" t="s">
        <v>33</v>
      </c>
      <c r="H332" s="188">
        <v>2</v>
      </c>
      <c r="I332" s="188">
        <f t="shared" si="45"/>
        <v>-2.5257286443082556</v>
      </c>
      <c r="J332" s="188">
        <v>0.20928449536456342</v>
      </c>
      <c r="K332" s="188" t="s">
        <v>31</v>
      </c>
      <c r="L332" s="188" t="s">
        <v>31</v>
      </c>
      <c r="M332" s="188" t="s">
        <v>31</v>
      </c>
      <c r="N332" s="188"/>
      <c r="O332" s="401" t="s">
        <v>248</v>
      </c>
      <c r="P332" s="414">
        <v>0.08</v>
      </c>
      <c r="Q332" s="188"/>
      <c r="R332" s="188"/>
      <c r="S332" s="188"/>
      <c r="T332" s="188"/>
      <c r="U332" s="188"/>
    </row>
    <row r="333" spans="1:21">
      <c r="A333" s="346" t="s">
        <v>269</v>
      </c>
      <c r="B333" s="350">
        <f>P333</f>
        <v>0.02</v>
      </c>
      <c r="C333" s="188" t="s">
        <v>39</v>
      </c>
      <c r="D333" s="188" t="s">
        <v>40</v>
      </c>
      <c r="E333" s="188" t="s">
        <v>29</v>
      </c>
      <c r="F333" s="37" t="s">
        <v>35</v>
      </c>
      <c r="G333" s="188" t="s">
        <v>33</v>
      </c>
      <c r="H333" s="188">
        <v>2</v>
      </c>
      <c r="I333" s="188">
        <f t="shared" si="45"/>
        <v>-3.912023005428146</v>
      </c>
      <c r="J333" s="188">
        <v>9.6436507609929598E-2</v>
      </c>
      <c r="K333" s="188" t="s">
        <v>31</v>
      </c>
      <c r="L333" s="188" t="s">
        <v>31</v>
      </c>
      <c r="M333" s="188" t="s">
        <v>31</v>
      </c>
      <c r="N333" s="188"/>
      <c r="O333" s="401" t="s">
        <v>248</v>
      </c>
      <c r="P333" s="414">
        <v>0.02</v>
      </c>
      <c r="Q333" s="188"/>
      <c r="R333" s="188"/>
      <c r="S333" s="188"/>
      <c r="T333" s="188"/>
      <c r="U333" s="188"/>
    </row>
    <row r="334" spans="1:21">
      <c r="A334" s="88" t="s">
        <v>680</v>
      </c>
      <c r="B334" s="415">
        <f>R334</f>
        <v>1E-4</v>
      </c>
      <c r="C334" s="188" t="s">
        <v>37</v>
      </c>
      <c r="D334" s="188" t="s">
        <v>40</v>
      </c>
      <c r="E334" s="188" t="s">
        <v>29</v>
      </c>
      <c r="F334" s="188" t="s">
        <v>35</v>
      </c>
      <c r="G334" s="188" t="s">
        <v>33</v>
      </c>
      <c r="H334" s="188">
        <v>2</v>
      </c>
      <c r="I334" s="188">
        <f>LN(B334)</f>
        <v>-9.2103403719761818</v>
      </c>
      <c r="J334" s="188">
        <v>0.20928449536456342</v>
      </c>
      <c r="K334" s="188" t="s">
        <v>31</v>
      </c>
      <c r="L334" s="188" t="s">
        <v>31</v>
      </c>
      <c r="M334" s="188" t="s">
        <v>31</v>
      </c>
      <c r="N334" s="188"/>
      <c r="O334" s="401" t="s">
        <v>580</v>
      </c>
      <c r="P334" s="414">
        <v>0.1</v>
      </c>
      <c r="Q334" s="188" t="s">
        <v>241</v>
      </c>
      <c r="R334" s="188">
        <f>P334*0.001</f>
        <v>1E-4</v>
      </c>
      <c r="S334" s="188"/>
      <c r="T334" s="188"/>
      <c r="U334" s="188"/>
    </row>
    <row r="335" spans="1:21">
      <c r="A335" s="346" t="s">
        <v>799</v>
      </c>
      <c r="B335" s="415">
        <f>P335</f>
        <v>1E-3</v>
      </c>
      <c r="C335" s="188" t="s">
        <v>37</v>
      </c>
      <c r="D335" s="188" t="s">
        <v>40</v>
      </c>
      <c r="E335" s="188" t="s">
        <v>29</v>
      </c>
      <c r="F335" s="37" t="s">
        <v>74</v>
      </c>
      <c r="G335" s="188" t="s">
        <v>33</v>
      </c>
      <c r="H335" s="188">
        <v>2</v>
      </c>
      <c r="I335" s="188">
        <f>LN(B335)</f>
        <v>-6.9077552789821368</v>
      </c>
      <c r="J335" s="188">
        <v>0.20928449536456342</v>
      </c>
      <c r="K335" s="188" t="s">
        <v>31</v>
      </c>
      <c r="L335" s="188" t="s">
        <v>31</v>
      </c>
      <c r="M335" s="188" t="s">
        <v>31</v>
      </c>
      <c r="N335" s="188"/>
      <c r="O335" s="401" t="s">
        <v>241</v>
      </c>
      <c r="P335" s="452">
        <v>1E-3</v>
      </c>
      <c r="Q335" s="188"/>
      <c r="R335" s="188"/>
      <c r="S335" s="188"/>
      <c r="T335" s="188"/>
      <c r="U335" s="188"/>
    </row>
    <row r="336" spans="1:21">
      <c r="A336" s="88" t="s">
        <v>300</v>
      </c>
      <c r="B336" s="441">
        <f>R336</f>
        <v>2.0000000000000001E-4</v>
      </c>
      <c r="C336" s="188" t="s">
        <v>37</v>
      </c>
      <c r="D336" s="188" t="s">
        <v>40</v>
      </c>
      <c r="E336" s="188" t="s">
        <v>29</v>
      </c>
      <c r="F336" s="37" t="s">
        <v>82</v>
      </c>
      <c r="G336" s="188" t="s">
        <v>33</v>
      </c>
      <c r="H336" s="188">
        <v>2</v>
      </c>
      <c r="I336" s="188">
        <f>LN(B336)</f>
        <v>-8.5171931914162382</v>
      </c>
      <c r="J336" s="188">
        <v>0.20928449536456342</v>
      </c>
      <c r="K336" s="188" t="s">
        <v>31</v>
      </c>
      <c r="L336" s="188" t="s">
        <v>31</v>
      </c>
      <c r="M336" s="188" t="s">
        <v>31</v>
      </c>
      <c r="N336" s="188"/>
      <c r="O336" s="401" t="s">
        <v>580</v>
      </c>
      <c r="P336" s="414">
        <v>0.2</v>
      </c>
      <c r="Q336" s="188" t="s">
        <v>241</v>
      </c>
      <c r="R336" s="188">
        <f>P336*0.001</f>
        <v>2.0000000000000001E-4</v>
      </c>
      <c r="S336" s="188"/>
      <c r="T336" s="188"/>
      <c r="U336" s="188"/>
    </row>
    <row r="337" spans="1:21">
      <c r="A337" s="88" t="s">
        <v>545</v>
      </c>
      <c r="B337" s="188">
        <f>R337</f>
        <v>4.0000000000000002E-4</v>
      </c>
      <c r="C337" s="188" t="s">
        <v>37</v>
      </c>
      <c r="D337" s="188" t="s">
        <v>40</v>
      </c>
      <c r="E337" s="188" t="s">
        <v>29</v>
      </c>
      <c r="F337" s="188" t="s">
        <v>35</v>
      </c>
      <c r="G337" s="188" t="s">
        <v>33</v>
      </c>
      <c r="H337" s="188">
        <v>2</v>
      </c>
      <c r="I337" s="188">
        <f>LN(B337)</f>
        <v>-7.8240460108562919</v>
      </c>
      <c r="J337" s="188">
        <v>0.20928449536456342</v>
      </c>
      <c r="K337" s="188" t="s">
        <v>31</v>
      </c>
      <c r="L337" s="188" t="s">
        <v>31</v>
      </c>
      <c r="M337" s="188" t="s">
        <v>31</v>
      </c>
      <c r="N337" s="188"/>
      <c r="O337" s="401" t="s">
        <v>580</v>
      </c>
      <c r="P337" s="414">
        <v>0.4</v>
      </c>
      <c r="Q337" s="188" t="s">
        <v>241</v>
      </c>
      <c r="R337" s="188">
        <f>P337*0.001</f>
        <v>4.0000000000000002E-4</v>
      </c>
      <c r="S337" s="188"/>
      <c r="T337" s="188"/>
      <c r="U337" s="188"/>
    </row>
    <row r="338" spans="1:21">
      <c r="A338" s="346" t="s">
        <v>202</v>
      </c>
      <c r="B338" s="188">
        <f>P338</f>
        <v>0.2</v>
      </c>
      <c r="C338" s="188" t="s">
        <v>37</v>
      </c>
      <c r="D338" s="188" t="s">
        <v>40</v>
      </c>
      <c r="E338" s="188" t="s">
        <v>29</v>
      </c>
      <c r="F338" s="37" t="s">
        <v>35</v>
      </c>
      <c r="G338" s="188" t="s">
        <v>33</v>
      </c>
      <c r="H338" s="188">
        <v>2</v>
      </c>
      <c r="I338" s="188">
        <f t="shared" ref="I338:I339" si="46">LN(B338)</f>
        <v>-1.6094379124341003</v>
      </c>
      <c r="J338" s="188">
        <v>0.20928449536456342</v>
      </c>
      <c r="K338" s="188" t="s">
        <v>31</v>
      </c>
      <c r="L338" s="188" t="s">
        <v>31</v>
      </c>
      <c r="M338" s="188" t="s">
        <v>31</v>
      </c>
      <c r="N338" s="188"/>
      <c r="O338" s="401" t="s">
        <v>241</v>
      </c>
      <c r="P338" s="414">
        <v>0.2</v>
      </c>
      <c r="Q338" s="188"/>
      <c r="R338" s="188"/>
      <c r="S338" s="188"/>
      <c r="T338" s="188"/>
      <c r="U338" s="188"/>
    </row>
    <row r="339" spans="1:21">
      <c r="A339" s="188" t="s">
        <v>784</v>
      </c>
      <c r="B339" s="415">
        <f>P339</f>
        <v>6.8000000000000005E-4</v>
      </c>
      <c r="C339" s="188" t="s">
        <v>37</v>
      </c>
      <c r="D339" s="408" t="s">
        <v>2</v>
      </c>
      <c r="E339" s="188" t="s">
        <v>29</v>
      </c>
      <c r="F339" s="37" t="s">
        <v>74</v>
      </c>
      <c r="G339" s="188" t="s">
        <v>33</v>
      </c>
      <c r="H339" s="188">
        <v>2</v>
      </c>
      <c r="I339" s="188">
        <f t="shared" si="46"/>
        <v>-7.2934177597941217</v>
      </c>
      <c r="J339" s="188">
        <v>0.20928449536456342</v>
      </c>
      <c r="K339" s="188" t="s">
        <v>31</v>
      </c>
      <c r="L339" s="188" t="s">
        <v>31</v>
      </c>
      <c r="M339" s="188" t="s">
        <v>31</v>
      </c>
      <c r="N339" s="188"/>
      <c r="O339" s="418" t="s">
        <v>241</v>
      </c>
      <c r="P339" s="453">
        <v>6.8000000000000005E-4</v>
      </c>
      <c r="Q339" s="188"/>
      <c r="R339" s="188"/>
      <c r="S339" s="188"/>
      <c r="T339" s="188"/>
      <c r="U339" s="188"/>
    </row>
    <row r="340" spans="1:21" s="70" customFormat="1">
      <c r="A340" s="370" t="s">
        <v>5</v>
      </c>
      <c r="B340" s="371" t="s">
        <v>1057</v>
      </c>
      <c r="C340" s="353"/>
      <c r="D340" s="353"/>
      <c r="E340" s="353"/>
      <c r="F340" s="353"/>
      <c r="G340" s="353"/>
      <c r="H340" s="353"/>
      <c r="I340" s="353"/>
      <c r="J340" s="353"/>
      <c r="K340" s="353"/>
      <c r="L340" s="353"/>
      <c r="M340" s="353"/>
      <c r="N340" s="353"/>
      <c r="O340" s="353"/>
      <c r="P340" s="469"/>
      <c r="Q340" s="353"/>
      <c r="R340" s="353"/>
      <c r="S340" s="353"/>
      <c r="T340" s="353"/>
      <c r="U340" s="353"/>
    </row>
    <row r="341" spans="1:21">
      <c r="A341" s="346" t="s">
        <v>7</v>
      </c>
      <c r="B341" s="188" t="s">
        <v>786</v>
      </c>
      <c r="C341" s="345"/>
      <c r="D341" s="188"/>
      <c r="E341" s="188"/>
      <c r="F341" s="188"/>
      <c r="G341" s="188"/>
      <c r="H341" s="188"/>
      <c r="I341" s="188"/>
      <c r="J341" s="188"/>
      <c r="K341" s="188"/>
      <c r="L341" s="188"/>
      <c r="M341" s="188"/>
      <c r="N341" s="188"/>
      <c r="O341" s="188"/>
      <c r="P341" s="188"/>
      <c r="Q341" s="188"/>
      <c r="R341" s="188"/>
      <c r="S341" s="188"/>
      <c r="T341" s="188"/>
      <c r="U341" s="188"/>
    </row>
    <row r="342" spans="1:21">
      <c r="A342" s="424" t="s">
        <v>9</v>
      </c>
      <c r="B342" s="188" t="s">
        <v>1058</v>
      </c>
      <c r="C342" s="345"/>
      <c r="D342" s="188"/>
      <c r="E342" s="188"/>
      <c r="F342" s="188"/>
      <c r="G342" s="188"/>
      <c r="H342" s="188"/>
      <c r="I342" s="188"/>
      <c r="J342" s="188"/>
      <c r="K342" s="188"/>
      <c r="L342" s="188"/>
      <c r="M342" s="188"/>
      <c r="N342" s="188"/>
      <c r="O342" s="188"/>
      <c r="P342" s="188"/>
      <c r="Q342" s="188"/>
      <c r="R342" s="188"/>
      <c r="S342" s="188"/>
      <c r="T342" s="188"/>
      <c r="U342" s="188"/>
    </row>
    <row r="343" spans="1:21" ht="15.75" customHeight="1">
      <c r="A343" s="346" t="s">
        <v>11</v>
      </c>
      <c r="B343" s="347" t="s">
        <v>796</v>
      </c>
      <c r="C343" s="188"/>
      <c r="D343" s="188"/>
      <c r="E343" s="188"/>
      <c r="F343" s="188"/>
      <c r="G343" s="188"/>
      <c r="H343" s="188"/>
      <c r="I343" s="188"/>
      <c r="J343" s="188"/>
      <c r="K343" s="188"/>
      <c r="L343" s="188"/>
      <c r="M343" s="188"/>
      <c r="N343" s="188"/>
      <c r="O343" s="188"/>
      <c r="P343" s="188"/>
      <c r="Q343" s="188"/>
      <c r="R343" s="188"/>
      <c r="S343" s="188"/>
      <c r="T343" s="188"/>
      <c r="U343" s="188"/>
    </row>
    <row r="344" spans="1:21">
      <c r="A344" s="346" t="s">
        <v>13</v>
      </c>
      <c r="B344" s="188" t="s">
        <v>14</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46" t="s">
        <v>15</v>
      </c>
      <c r="B345" s="415">
        <v>1.4E-3</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46" t="s">
        <v>16</v>
      </c>
      <c r="B346" s="188" t="s">
        <v>17</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46" t="s">
        <v>18</v>
      </c>
      <c r="B347" s="188" t="s">
        <v>609</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43" t="s">
        <v>19</v>
      </c>
      <c r="B348" s="188"/>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44" t="s">
        <v>20</v>
      </c>
      <c r="B349" s="344" t="s">
        <v>21</v>
      </c>
      <c r="C349" s="344" t="s">
        <v>18</v>
      </c>
      <c r="D349" s="344" t="s">
        <v>22</v>
      </c>
      <c r="E349" s="344" t="s">
        <v>7</v>
      </c>
      <c r="F349" s="344" t="s">
        <v>13</v>
      </c>
      <c r="G349" s="344" t="s">
        <v>16</v>
      </c>
      <c r="H349" s="344" t="s">
        <v>23</v>
      </c>
      <c r="I349" s="344" t="s">
        <v>24</v>
      </c>
      <c r="J349" s="344" t="s">
        <v>25</v>
      </c>
      <c r="K349" s="344" t="s">
        <v>26</v>
      </c>
      <c r="L349" s="344" t="s">
        <v>27</v>
      </c>
      <c r="M349" s="344" t="s">
        <v>28</v>
      </c>
      <c r="N349" s="344" t="s">
        <v>11</v>
      </c>
      <c r="O349" s="188"/>
      <c r="P349" s="188"/>
      <c r="Q349" s="188"/>
      <c r="R349" s="188"/>
      <c r="S349" s="188"/>
      <c r="T349" s="415"/>
      <c r="U349" s="188"/>
    </row>
    <row r="350" spans="1:21">
      <c r="A350" s="192" t="s">
        <v>1057</v>
      </c>
      <c r="B350" s="415">
        <v>1.4E-3</v>
      </c>
      <c r="C350" s="188" t="s">
        <v>609</v>
      </c>
      <c r="D350" s="408" t="s">
        <v>2</v>
      </c>
      <c r="E350" s="188" t="s">
        <v>29</v>
      </c>
      <c r="F350" s="188" t="s">
        <v>14</v>
      </c>
      <c r="G350" s="188" t="s">
        <v>30</v>
      </c>
      <c r="H350" s="188">
        <v>1</v>
      </c>
      <c r="I350" s="415">
        <f>B350</f>
        <v>1.4E-3</v>
      </c>
      <c r="J350" s="188" t="s">
        <v>31</v>
      </c>
      <c r="K350" s="188" t="s">
        <v>31</v>
      </c>
      <c r="L350" s="188" t="s">
        <v>31</v>
      </c>
      <c r="M350" s="188" t="s">
        <v>31</v>
      </c>
      <c r="N350" s="188"/>
      <c r="O350" s="396" t="s">
        <v>823</v>
      </c>
      <c r="P350" s="454">
        <v>2E-3</v>
      </c>
      <c r="Q350" s="188"/>
      <c r="R350" s="188"/>
      <c r="S350" s="188"/>
      <c r="T350" s="188"/>
      <c r="U350" s="188"/>
    </row>
    <row r="351" spans="1:21">
      <c r="A351" s="88" t="s">
        <v>848</v>
      </c>
      <c r="B351" s="188">
        <f>P351</f>
        <v>3.0000000000000001E-3</v>
      </c>
      <c r="C351" s="188" t="s">
        <v>37</v>
      </c>
      <c r="D351" s="188" t="s">
        <v>40</v>
      </c>
      <c r="E351" s="188" t="s">
        <v>29</v>
      </c>
      <c r="F351" s="188" t="s">
        <v>82</v>
      </c>
      <c r="G351" s="188" t="s">
        <v>33</v>
      </c>
      <c r="H351" s="188">
        <v>2</v>
      </c>
      <c r="I351" s="188">
        <f t="shared" ref="I351:I361" si="47">LN(B351)</f>
        <v>-5.8091429903140277</v>
      </c>
      <c r="J351" s="464">
        <v>0.22516660498395411</v>
      </c>
      <c r="K351" s="188" t="s">
        <v>31</v>
      </c>
      <c r="L351" s="188" t="s">
        <v>31</v>
      </c>
      <c r="M351" s="188" t="s">
        <v>31</v>
      </c>
      <c r="N351" s="188"/>
      <c r="O351" s="401" t="s">
        <v>241</v>
      </c>
      <c r="P351" s="414">
        <v>3.0000000000000001E-3</v>
      </c>
      <c r="Q351" s="188"/>
      <c r="R351" s="188"/>
      <c r="S351" s="188"/>
      <c r="T351" s="188"/>
      <c r="U351" s="188"/>
    </row>
    <row r="352" spans="1:21">
      <c r="A352" s="346" t="s">
        <v>269</v>
      </c>
      <c r="B352" s="350">
        <f>P352</f>
        <v>2.8000000000000001E-2</v>
      </c>
      <c r="C352" s="188" t="s">
        <v>39</v>
      </c>
      <c r="D352" s="188" t="s">
        <v>40</v>
      </c>
      <c r="E352" s="188" t="s">
        <v>29</v>
      </c>
      <c r="F352" s="37" t="s">
        <v>35</v>
      </c>
      <c r="G352" s="188" t="s">
        <v>33</v>
      </c>
      <c r="H352" s="188">
        <v>2</v>
      </c>
      <c r="I352" s="188">
        <f t="shared" si="47"/>
        <v>-3.575550768806933</v>
      </c>
      <c r="J352" s="464">
        <v>0.22516660498395411</v>
      </c>
      <c r="K352" s="188" t="s">
        <v>31</v>
      </c>
      <c r="L352" s="188" t="s">
        <v>31</v>
      </c>
      <c r="M352" s="188" t="s">
        <v>31</v>
      </c>
      <c r="N352" s="188"/>
      <c r="O352" s="401" t="s">
        <v>248</v>
      </c>
      <c r="P352" s="414">
        <v>2.8000000000000001E-2</v>
      </c>
      <c r="Q352" s="188"/>
      <c r="R352" s="188"/>
      <c r="S352" s="188"/>
      <c r="T352" s="188"/>
      <c r="U352" s="188"/>
    </row>
    <row r="353" spans="1:21">
      <c r="A353" s="88" t="s">
        <v>962</v>
      </c>
      <c r="B353" s="415">
        <f>R353</f>
        <v>4.7000000000000004E-5</v>
      </c>
      <c r="C353" s="188" t="s">
        <v>37</v>
      </c>
      <c r="D353" s="188" t="s">
        <v>40</v>
      </c>
      <c r="E353" s="188" t="s">
        <v>29</v>
      </c>
      <c r="F353" s="188" t="s">
        <v>35</v>
      </c>
      <c r="G353" s="188" t="s">
        <v>33</v>
      </c>
      <c r="H353" s="188">
        <v>2</v>
      </c>
      <c r="I353" s="188">
        <f t="shared" si="47"/>
        <v>-9.9653629562542161</v>
      </c>
      <c r="J353" s="464">
        <v>0.22516660498395411</v>
      </c>
      <c r="K353" s="188" t="s">
        <v>31</v>
      </c>
      <c r="L353" s="188" t="s">
        <v>31</v>
      </c>
      <c r="M353" s="188" t="s">
        <v>31</v>
      </c>
      <c r="N353" s="188"/>
      <c r="O353" s="401" t="s">
        <v>580</v>
      </c>
      <c r="P353" s="452">
        <v>4.7E-2</v>
      </c>
      <c r="Q353" s="188" t="s">
        <v>241</v>
      </c>
      <c r="R353" s="415">
        <f>0.001*P353</f>
        <v>4.7000000000000004E-5</v>
      </c>
      <c r="S353" s="188"/>
      <c r="T353" s="188"/>
      <c r="U353" s="188"/>
    </row>
    <row r="354" spans="1:21">
      <c r="A354" s="88" t="s">
        <v>963</v>
      </c>
      <c r="B354" s="415">
        <f>P354</f>
        <v>2.0000000000000001E-4</v>
      </c>
      <c r="C354" s="188" t="s">
        <v>37</v>
      </c>
      <c r="D354" s="188" t="s">
        <v>40</v>
      </c>
      <c r="E354" s="188" t="s">
        <v>29</v>
      </c>
      <c r="F354" s="188" t="s">
        <v>35</v>
      </c>
      <c r="G354" s="188" t="s">
        <v>33</v>
      </c>
      <c r="H354" s="188">
        <v>2</v>
      </c>
      <c r="I354" s="188">
        <f t="shared" si="47"/>
        <v>-8.5171931914162382</v>
      </c>
      <c r="J354" s="464">
        <v>0.22516660498395411</v>
      </c>
      <c r="K354" s="188" t="s">
        <v>31</v>
      </c>
      <c r="L354" s="188" t="s">
        <v>31</v>
      </c>
      <c r="M354" s="188" t="s">
        <v>31</v>
      </c>
      <c r="N354" s="188"/>
      <c r="O354" s="401" t="s">
        <v>241</v>
      </c>
      <c r="P354" s="452">
        <v>2.0000000000000001E-4</v>
      </c>
      <c r="Q354" s="188"/>
      <c r="R354" s="188"/>
      <c r="S354" s="188"/>
      <c r="T354" s="188"/>
      <c r="U354" s="188"/>
    </row>
    <row r="355" spans="1:21">
      <c r="A355" s="88" t="s">
        <v>964</v>
      </c>
      <c r="B355" s="415">
        <f>P355</f>
        <v>2.0000000000000001E-4</v>
      </c>
      <c r="C355" s="188" t="s">
        <v>37</v>
      </c>
      <c r="D355" s="188" t="s">
        <v>40</v>
      </c>
      <c r="E355" s="188" t="s">
        <v>29</v>
      </c>
      <c r="F355" s="188" t="s">
        <v>35</v>
      </c>
      <c r="G355" s="188" t="s">
        <v>33</v>
      </c>
      <c r="H355" s="188">
        <v>2</v>
      </c>
      <c r="I355" s="188">
        <f t="shared" si="47"/>
        <v>-8.5171931914162382</v>
      </c>
      <c r="J355" s="464">
        <v>0.22516660498395411</v>
      </c>
      <c r="K355" s="188" t="s">
        <v>31</v>
      </c>
      <c r="L355" s="188" t="s">
        <v>31</v>
      </c>
      <c r="M355" s="188" t="s">
        <v>31</v>
      </c>
      <c r="N355" s="188"/>
      <c r="O355" s="401" t="s">
        <v>241</v>
      </c>
      <c r="P355" s="452">
        <v>2.0000000000000001E-4</v>
      </c>
      <c r="Q355" s="188"/>
      <c r="R355" s="188"/>
      <c r="S355" s="188"/>
      <c r="T355" s="188"/>
      <c r="U355" s="188"/>
    </row>
    <row r="356" spans="1:21">
      <c r="A356" s="88" t="s">
        <v>191</v>
      </c>
      <c r="B356" s="415">
        <f>P356</f>
        <v>1.6999999999999999E-3</v>
      </c>
      <c r="C356" s="188" t="s">
        <v>37</v>
      </c>
      <c r="D356" s="188" t="s">
        <v>40</v>
      </c>
      <c r="E356" s="188" t="s">
        <v>29</v>
      </c>
      <c r="F356" s="188" t="s">
        <v>35</v>
      </c>
      <c r="G356" s="188" t="s">
        <v>33</v>
      </c>
      <c r="H356" s="188">
        <v>2</v>
      </c>
      <c r="I356" s="188">
        <f t="shared" si="47"/>
        <v>-6.3771270279199666</v>
      </c>
      <c r="J356" s="464">
        <v>0.22516660498395411</v>
      </c>
      <c r="K356" s="188" t="s">
        <v>31</v>
      </c>
      <c r="L356" s="188" t="s">
        <v>31</v>
      </c>
      <c r="M356" s="188" t="s">
        <v>31</v>
      </c>
      <c r="N356" s="188"/>
      <c r="O356" s="401" t="s">
        <v>241</v>
      </c>
      <c r="P356" s="414">
        <v>1.6999999999999999E-3</v>
      </c>
      <c r="Q356" s="188"/>
      <c r="R356" s="188"/>
      <c r="S356" s="188"/>
      <c r="T356" s="188"/>
      <c r="U356" s="188"/>
    </row>
    <row r="357" spans="1:21">
      <c r="A357" s="88" t="s">
        <v>965</v>
      </c>
      <c r="B357" s="415">
        <f>R357</f>
        <v>9.5000000000000005E-6</v>
      </c>
      <c r="C357" s="188" t="s">
        <v>37</v>
      </c>
      <c r="D357" s="188" t="s">
        <v>43</v>
      </c>
      <c r="E357" s="188" t="s">
        <v>44</v>
      </c>
      <c r="F357" s="188" t="s">
        <v>29</v>
      </c>
      <c r="G357" s="188" t="s">
        <v>45</v>
      </c>
      <c r="H357" s="188">
        <v>2</v>
      </c>
      <c r="I357" s="188">
        <f t="shared" si="47"/>
        <v>-11.564218759357779</v>
      </c>
      <c r="J357" s="464">
        <v>0.10344080432788608</v>
      </c>
      <c r="K357" s="188" t="s">
        <v>31</v>
      </c>
      <c r="L357" s="188" t="s">
        <v>31</v>
      </c>
      <c r="M357" s="188" t="s">
        <v>31</v>
      </c>
      <c r="N357" s="188"/>
      <c r="O357" s="416" t="s">
        <v>580</v>
      </c>
      <c r="P357" s="417">
        <v>9.4999999999999998E-3</v>
      </c>
      <c r="Q357" s="188" t="s">
        <v>241</v>
      </c>
      <c r="R357" s="415">
        <f>0.001*P357</f>
        <v>9.5000000000000005E-6</v>
      </c>
      <c r="S357" s="188"/>
      <c r="T357" s="188"/>
      <c r="U357" s="188"/>
    </row>
    <row r="358" spans="1:21">
      <c r="A358" s="88" t="s">
        <v>77</v>
      </c>
      <c r="B358" s="415">
        <f t="shared" ref="B358:B360" si="48">R358</f>
        <v>1E-4</v>
      </c>
      <c r="C358" s="188" t="s">
        <v>37</v>
      </c>
      <c r="D358" s="188" t="s">
        <v>43</v>
      </c>
      <c r="E358" s="188" t="s">
        <v>44</v>
      </c>
      <c r="F358" s="188" t="s">
        <v>29</v>
      </c>
      <c r="G358" s="188" t="s">
        <v>45</v>
      </c>
      <c r="H358" s="188">
        <v>2</v>
      </c>
      <c r="I358" s="188">
        <f t="shared" si="47"/>
        <v>-9.2103403719761818</v>
      </c>
      <c r="J358" s="464">
        <v>0.10344080432788608</v>
      </c>
      <c r="K358" s="188" t="s">
        <v>31</v>
      </c>
      <c r="L358" s="188" t="s">
        <v>31</v>
      </c>
      <c r="M358" s="188" t="s">
        <v>31</v>
      </c>
      <c r="N358" s="188"/>
      <c r="O358" s="416" t="s">
        <v>580</v>
      </c>
      <c r="P358" s="417">
        <v>0.1</v>
      </c>
      <c r="Q358" s="188" t="s">
        <v>241</v>
      </c>
      <c r="R358" s="415">
        <f>0.001*P358</f>
        <v>1E-4</v>
      </c>
      <c r="S358" s="188"/>
      <c r="T358" s="188"/>
      <c r="U358" s="188"/>
    </row>
    <row r="359" spans="1:21">
      <c r="A359" s="88" t="s">
        <v>966</v>
      </c>
      <c r="B359" s="415">
        <f t="shared" si="48"/>
        <v>6.6000000000000005E-5</v>
      </c>
      <c r="C359" s="188" t="s">
        <v>37</v>
      </c>
      <c r="D359" s="188" t="s">
        <v>43</v>
      </c>
      <c r="E359" s="188" t="s">
        <v>44</v>
      </c>
      <c r="F359" s="188" t="s">
        <v>29</v>
      </c>
      <c r="G359" s="188" t="s">
        <v>45</v>
      </c>
      <c r="H359" s="188">
        <v>2</v>
      </c>
      <c r="I359" s="188">
        <f t="shared" si="47"/>
        <v>-9.6258558159378484</v>
      </c>
      <c r="J359" s="464">
        <v>0.10344080432788608</v>
      </c>
      <c r="K359" s="188" t="s">
        <v>31</v>
      </c>
      <c r="L359" s="188" t="s">
        <v>31</v>
      </c>
      <c r="M359" s="188" t="s">
        <v>31</v>
      </c>
      <c r="N359" s="188"/>
      <c r="O359" s="416" t="s">
        <v>580</v>
      </c>
      <c r="P359" s="417">
        <v>6.6000000000000003E-2</v>
      </c>
      <c r="Q359" s="188" t="s">
        <v>241</v>
      </c>
      <c r="R359" s="415">
        <f>0.001*P359</f>
        <v>6.6000000000000005E-5</v>
      </c>
      <c r="S359" s="188"/>
      <c r="T359" s="188"/>
      <c r="U359" s="188"/>
    </row>
    <row r="360" spans="1:21">
      <c r="A360" s="88" t="s">
        <v>758</v>
      </c>
      <c r="B360" s="415">
        <f t="shared" si="48"/>
        <v>3.8000000000000002E-5</v>
      </c>
      <c r="C360" s="188" t="s">
        <v>37</v>
      </c>
      <c r="D360" s="188" t="s">
        <v>43</v>
      </c>
      <c r="E360" s="188" t="s">
        <v>44</v>
      </c>
      <c r="F360" s="188" t="s">
        <v>29</v>
      </c>
      <c r="G360" s="188" t="s">
        <v>45</v>
      </c>
      <c r="H360" s="188">
        <v>2</v>
      </c>
      <c r="I360" s="188">
        <f t="shared" si="47"/>
        <v>-10.177924398237888</v>
      </c>
      <c r="J360" s="464">
        <v>0.10344080432788608</v>
      </c>
      <c r="K360" s="188" t="s">
        <v>31</v>
      </c>
      <c r="L360" s="188" t="s">
        <v>31</v>
      </c>
      <c r="M360" s="188" t="s">
        <v>31</v>
      </c>
      <c r="N360" s="188"/>
      <c r="O360" s="416" t="s">
        <v>580</v>
      </c>
      <c r="P360" s="417">
        <v>3.7999999999999999E-2</v>
      </c>
      <c r="Q360" s="188" t="s">
        <v>241</v>
      </c>
      <c r="R360" s="415">
        <f>0.001*P360</f>
        <v>3.8000000000000002E-5</v>
      </c>
      <c r="S360" s="188"/>
      <c r="T360" s="188"/>
      <c r="U360" s="188"/>
    </row>
    <row r="361" spans="1:21">
      <c r="A361" s="188" t="s">
        <v>790</v>
      </c>
      <c r="B361" s="415">
        <f>P361</f>
        <v>5.0000000000000001E-4</v>
      </c>
      <c r="C361" s="188" t="s">
        <v>37</v>
      </c>
      <c r="D361" s="408" t="s">
        <v>2</v>
      </c>
      <c r="E361" s="188" t="s">
        <v>29</v>
      </c>
      <c r="F361" s="37" t="s">
        <v>74</v>
      </c>
      <c r="G361" s="188" t="s">
        <v>33</v>
      </c>
      <c r="H361" s="188">
        <v>2</v>
      </c>
      <c r="I361" s="188">
        <f t="shared" si="47"/>
        <v>-7.6009024595420822</v>
      </c>
      <c r="J361" s="188">
        <v>0.11269427669584645</v>
      </c>
      <c r="K361" s="188" t="s">
        <v>31</v>
      </c>
      <c r="L361" s="188" t="s">
        <v>31</v>
      </c>
      <c r="M361" s="188" t="s">
        <v>31</v>
      </c>
      <c r="N361" s="188"/>
      <c r="O361" s="418" t="s">
        <v>241</v>
      </c>
      <c r="P361" s="453">
        <v>5.0000000000000001E-4</v>
      </c>
      <c r="Q361" s="188"/>
      <c r="R361" s="188"/>
      <c r="S361" s="188"/>
      <c r="T361" s="188"/>
      <c r="U361" s="188"/>
    </row>
    <row r="362" spans="1:21">
      <c r="P362" s="160"/>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N139"/>
  <sheetViews>
    <sheetView topLeftCell="A101" zoomScale="85" zoomScaleNormal="85" workbookViewId="0">
      <selection activeCell="A136" sqref="A1:N139"/>
    </sheetView>
  </sheetViews>
  <sheetFormatPr defaultRowHeight="14.4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14" max="14" width="12.28515625" bestFit="1" customWidth="1"/>
  </cols>
  <sheetData>
    <row r="1" spans="1:13">
      <c r="A1" t="s">
        <v>0</v>
      </c>
      <c r="B1">
        <v>13</v>
      </c>
    </row>
    <row r="2" spans="1:13" ht="15.6">
      <c r="A2" s="1" t="s">
        <v>5</v>
      </c>
      <c r="B2" s="2" t="s">
        <v>53</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61</v>
      </c>
      <c r="C4" s="4"/>
      <c r="D4" s="13"/>
      <c r="E4" s="13"/>
      <c r="F4" s="13"/>
      <c r="G4" s="13"/>
      <c r="H4" s="13"/>
      <c r="I4" s="13"/>
      <c r="J4" s="13"/>
      <c r="K4" s="13"/>
      <c r="L4" s="13"/>
      <c r="M4" s="13"/>
    </row>
    <row r="5" spans="1:13" ht="29.1">
      <c r="A5" s="12" t="s">
        <v>11</v>
      </c>
      <c r="B5" s="14" t="s">
        <v>62</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6">
      <c r="A10" s="5" t="s">
        <v>19</v>
      </c>
      <c r="B10" s="13"/>
      <c r="C10" s="13"/>
      <c r="D10" s="13"/>
      <c r="E10" s="13"/>
      <c r="F10" s="13"/>
      <c r="G10" s="13"/>
      <c r="H10" s="13"/>
      <c r="I10" s="13"/>
      <c r="J10" s="13"/>
      <c r="K10" s="13"/>
      <c r="L10" s="13"/>
      <c r="M10" s="13"/>
    </row>
    <row r="11" spans="1:13" ht="15.6">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6">
      <c r="A12" s="7" t="s">
        <v>53</v>
      </c>
      <c r="B12" s="13">
        <v>1</v>
      </c>
      <c r="C12" s="13" t="s">
        <v>18</v>
      </c>
      <c r="D12" s="8" t="s">
        <v>2</v>
      </c>
      <c r="E12" s="13" t="s">
        <v>29</v>
      </c>
      <c r="F12" s="15" t="s">
        <v>14</v>
      </c>
      <c r="G12" s="13" t="s">
        <v>30</v>
      </c>
      <c r="H12" s="13">
        <v>1</v>
      </c>
      <c r="I12" s="13">
        <v>1</v>
      </c>
      <c r="J12" s="13" t="s">
        <v>31</v>
      </c>
      <c r="K12" s="13" t="s">
        <v>31</v>
      </c>
      <c r="L12" s="13" t="s">
        <v>31</v>
      </c>
      <c r="M12" s="13" t="s">
        <v>31</v>
      </c>
    </row>
    <row r="13" spans="1:13" ht="15.6">
      <c r="A13" s="7" t="s">
        <v>63</v>
      </c>
      <c r="B13" s="13">
        <v>1</v>
      </c>
      <c r="C13" s="13" t="s">
        <v>18</v>
      </c>
      <c r="D13" s="8" t="s">
        <v>2</v>
      </c>
      <c r="E13" s="13" t="s">
        <v>29</v>
      </c>
      <c r="F13" s="15" t="s">
        <v>14</v>
      </c>
      <c r="G13" s="13" t="s">
        <v>33</v>
      </c>
      <c r="H13" s="13">
        <v>2</v>
      </c>
      <c r="I13" s="13">
        <f t="shared" ref="I13:I18" si="0">LN(B13)</f>
        <v>0</v>
      </c>
      <c r="J13" s="13">
        <v>0.24083189157584584</v>
      </c>
      <c r="K13" s="13" t="s">
        <v>31</v>
      </c>
      <c r="L13" s="13" t="s">
        <v>31</v>
      </c>
      <c r="M13" s="13" t="s">
        <v>31</v>
      </c>
    </row>
    <row r="14" spans="1:13" ht="15.6">
      <c r="A14" s="7" t="s">
        <v>64</v>
      </c>
      <c r="B14" s="13">
        <v>1</v>
      </c>
      <c r="C14" s="13" t="s">
        <v>18</v>
      </c>
      <c r="D14" s="8" t="s">
        <v>2</v>
      </c>
      <c r="E14" s="13" t="s">
        <v>29</v>
      </c>
      <c r="F14" s="15" t="s">
        <v>14</v>
      </c>
      <c r="G14" s="13" t="s">
        <v>33</v>
      </c>
      <c r="H14" s="13">
        <v>2</v>
      </c>
      <c r="I14" s="13">
        <f t="shared" si="0"/>
        <v>0</v>
      </c>
      <c r="J14" s="13">
        <v>0.24083189157584584</v>
      </c>
      <c r="K14" s="13" t="s">
        <v>31</v>
      </c>
      <c r="L14" s="13" t="s">
        <v>31</v>
      </c>
      <c r="M14" s="13" t="s">
        <v>31</v>
      </c>
    </row>
    <row r="15" spans="1:13" ht="15.6">
      <c r="A15" s="7" t="s">
        <v>65</v>
      </c>
      <c r="B15" s="13">
        <v>1</v>
      </c>
      <c r="C15" s="13" t="s">
        <v>18</v>
      </c>
      <c r="D15" s="8" t="s">
        <v>2</v>
      </c>
      <c r="E15" s="13" t="s">
        <v>29</v>
      </c>
      <c r="F15" s="15" t="s">
        <v>14</v>
      </c>
      <c r="G15" s="13" t="s">
        <v>33</v>
      </c>
      <c r="H15" s="13">
        <v>2</v>
      </c>
      <c r="I15" s="13">
        <f t="shared" si="0"/>
        <v>0</v>
      </c>
      <c r="J15" s="13">
        <v>0.24083189157584584</v>
      </c>
      <c r="K15" s="13" t="s">
        <v>31</v>
      </c>
      <c r="L15" s="13" t="s">
        <v>31</v>
      </c>
      <c r="M15" s="13" t="s">
        <v>31</v>
      </c>
    </row>
    <row r="16" spans="1:13" ht="15.6">
      <c r="A16" s="7" t="s">
        <v>66</v>
      </c>
      <c r="B16" s="13">
        <v>1</v>
      </c>
      <c r="C16" s="13" t="s">
        <v>18</v>
      </c>
      <c r="D16" s="8" t="s">
        <v>2</v>
      </c>
      <c r="E16" s="13" t="s">
        <v>29</v>
      </c>
      <c r="F16" s="15" t="s">
        <v>14</v>
      </c>
      <c r="G16" s="13" t="s">
        <v>33</v>
      </c>
      <c r="H16" s="13">
        <v>2</v>
      </c>
      <c r="I16" s="13">
        <f t="shared" si="0"/>
        <v>0</v>
      </c>
      <c r="J16" s="13">
        <v>0.24083189157584584</v>
      </c>
      <c r="K16" s="13" t="s">
        <v>31</v>
      </c>
      <c r="L16" s="13" t="s">
        <v>31</v>
      </c>
      <c r="M16" s="13" t="s">
        <v>31</v>
      </c>
    </row>
    <row r="17" spans="1:13" ht="15.6">
      <c r="A17" s="7" t="s">
        <v>67</v>
      </c>
      <c r="B17" s="13">
        <v>1</v>
      </c>
      <c r="C17" s="13" t="s">
        <v>18</v>
      </c>
      <c r="D17" s="8" t="s">
        <v>2</v>
      </c>
      <c r="E17" s="13" t="s">
        <v>29</v>
      </c>
      <c r="F17" s="15" t="s">
        <v>14</v>
      </c>
      <c r="G17" s="13" t="s">
        <v>33</v>
      </c>
      <c r="H17" s="13">
        <v>2</v>
      </c>
      <c r="I17" s="13">
        <f t="shared" si="0"/>
        <v>0</v>
      </c>
      <c r="J17" s="13">
        <v>0.24083189157584584</v>
      </c>
      <c r="K17" s="13" t="s">
        <v>31</v>
      </c>
      <c r="L17" s="13" t="s">
        <v>31</v>
      </c>
      <c r="M17" s="13" t="s">
        <v>31</v>
      </c>
    </row>
    <row r="18" spans="1:13" ht="15.6">
      <c r="A18" s="7" t="s">
        <v>68</v>
      </c>
      <c r="B18" s="13">
        <v>1</v>
      </c>
      <c r="C18" s="13" t="s">
        <v>18</v>
      </c>
      <c r="D18" s="8" t="s">
        <v>2</v>
      </c>
      <c r="E18" s="13" t="s">
        <v>29</v>
      </c>
      <c r="F18" s="15" t="s">
        <v>14</v>
      </c>
      <c r="G18" s="13" t="s">
        <v>33</v>
      </c>
      <c r="H18" s="13">
        <v>2</v>
      </c>
      <c r="I18" s="13">
        <f t="shared" si="0"/>
        <v>0</v>
      </c>
      <c r="J18" s="13">
        <v>0.24083189157584584</v>
      </c>
      <c r="K18" s="13" t="s">
        <v>31</v>
      </c>
      <c r="L18" s="13" t="s">
        <v>31</v>
      </c>
      <c r="M18" s="13" t="s">
        <v>31</v>
      </c>
    </row>
    <row r="19" spans="1:13" ht="15.6">
      <c r="A19" s="7" t="s">
        <v>38</v>
      </c>
      <c r="B19" s="13">
        <v>41641.354800000001</v>
      </c>
      <c r="C19" s="13" t="s">
        <v>39</v>
      </c>
      <c r="D19" s="8" t="s">
        <v>40</v>
      </c>
      <c r="E19" s="13" t="s">
        <v>29</v>
      </c>
      <c r="F19" s="15" t="s">
        <v>14</v>
      </c>
      <c r="G19" s="13" t="s">
        <v>33</v>
      </c>
      <c r="H19" s="13">
        <v>2</v>
      </c>
      <c r="I19" s="13">
        <f>LN(B19)</f>
        <v>10.636849058222674</v>
      </c>
      <c r="J19" s="13">
        <v>5.0990195135927806E-2</v>
      </c>
      <c r="K19" s="13" t="s">
        <v>31</v>
      </c>
      <c r="L19" s="13" t="s">
        <v>31</v>
      </c>
      <c r="M19" s="13" t="s">
        <v>31</v>
      </c>
    </row>
    <row r="20" spans="1:13" ht="15.6">
      <c r="A20" s="7" t="s">
        <v>69</v>
      </c>
      <c r="B20" s="13">
        <f>123641.8263/(1/3.6)/38.3</f>
        <v>11621.686022976501</v>
      </c>
      <c r="C20" s="13" t="s">
        <v>42</v>
      </c>
      <c r="D20" s="8" t="s">
        <v>40</v>
      </c>
      <c r="E20" s="13" t="s">
        <v>29</v>
      </c>
      <c r="F20" s="15" t="s">
        <v>14</v>
      </c>
      <c r="G20" s="13" t="s">
        <v>33</v>
      </c>
      <c r="H20" s="13">
        <v>2</v>
      </c>
      <c r="I20" s="13">
        <f t="shared" ref="I20:I30" si="1">LN(B20)</f>
        <v>9.3606281165220988</v>
      </c>
      <c r="J20" s="13">
        <v>5.0990195135927806E-2</v>
      </c>
      <c r="K20" s="13" t="s">
        <v>31</v>
      </c>
      <c r="L20" s="13" t="s">
        <v>31</v>
      </c>
      <c r="M20" s="13" t="s">
        <v>31</v>
      </c>
    </row>
    <row r="21" spans="1:13" ht="15.6">
      <c r="A21" s="7" t="s">
        <v>70</v>
      </c>
      <c r="B21" s="13">
        <f>17933.4*3.6</f>
        <v>64560.240000000005</v>
      </c>
      <c r="C21" s="13" t="s">
        <v>71</v>
      </c>
      <c r="D21" s="8" t="s">
        <v>40</v>
      </c>
      <c r="E21" s="13" t="s">
        <v>29</v>
      </c>
      <c r="F21" s="15" t="s">
        <v>59</v>
      </c>
      <c r="G21" s="13" t="s">
        <v>33</v>
      </c>
      <c r="H21" s="13">
        <v>2</v>
      </c>
      <c r="I21" s="13">
        <f t="shared" si="1"/>
        <v>11.075354020409039</v>
      </c>
      <c r="J21" s="13">
        <v>5.0990195135927806E-2</v>
      </c>
      <c r="K21" s="13" t="s">
        <v>31</v>
      </c>
      <c r="L21" s="13" t="s">
        <v>31</v>
      </c>
      <c r="M21" s="13" t="s">
        <v>31</v>
      </c>
    </row>
    <row r="22" spans="1:13" ht="15.6">
      <c r="A22" s="7" t="s">
        <v>72</v>
      </c>
      <c r="B22" s="13">
        <f>8.9667*3.6/44.8</f>
        <v>0.72053839285714283</v>
      </c>
      <c r="C22" s="13" t="s">
        <v>37</v>
      </c>
      <c r="D22" s="8" t="s">
        <v>40</v>
      </c>
      <c r="E22" s="13" t="s">
        <v>29</v>
      </c>
      <c r="F22" s="15" t="s">
        <v>14</v>
      </c>
      <c r="G22" s="13" t="s">
        <v>33</v>
      </c>
      <c r="H22" s="13">
        <v>2</v>
      </c>
      <c r="I22" s="13">
        <f t="shared" si="1"/>
        <v>-0.32775657855398227</v>
      </c>
      <c r="J22" s="13">
        <v>5.0990195135927806E-2</v>
      </c>
      <c r="K22" s="13" t="s">
        <v>31</v>
      </c>
      <c r="L22" s="13" t="s">
        <v>31</v>
      </c>
      <c r="M22" s="13" t="s">
        <v>31</v>
      </c>
    </row>
    <row r="23" spans="1:13" ht="15.6">
      <c r="A23" s="7" t="s">
        <v>73</v>
      </c>
      <c r="B23" s="13">
        <f>5415.8868*3.6/46.2</f>
        <v>422.01715324675325</v>
      </c>
      <c r="C23" s="13" t="s">
        <v>37</v>
      </c>
      <c r="D23" s="8" t="s">
        <v>40</v>
      </c>
      <c r="E23" s="13" t="s">
        <v>29</v>
      </c>
      <c r="F23" s="15" t="s">
        <v>74</v>
      </c>
      <c r="G23" s="13" t="s">
        <v>33</v>
      </c>
      <c r="H23" s="13">
        <v>2</v>
      </c>
      <c r="I23" s="13">
        <f t="shared" si="1"/>
        <v>6.045045960714079</v>
      </c>
      <c r="J23" s="13">
        <v>5.0990195135927806E-2</v>
      </c>
      <c r="K23" s="13" t="s">
        <v>31</v>
      </c>
      <c r="L23" s="13" t="s">
        <v>31</v>
      </c>
      <c r="M23" s="13" t="s">
        <v>31</v>
      </c>
    </row>
    <row r="24" spans="1:13" ht="15.6">
      <c r="A24" s="7" t="s">
        <v>75</v>
      </c>
      <c r="B24" s="9">
        <v>8966.7000000000007</v>
      </c>
      <c r="C24" s="13" t="s">
        <v>37</v>
      </c>
      <c r="D24" s="8" t="s">
        <v>40</v>
      </c>
      <c r="E24" s="13" t="s">
        <v>29</v>
      </c>
      <c r="F24" s="15" t="s">
        <v>59</v>
      </c>
      <c r="G24" s="13" t="s">
        <v>33</v>
      </c>
      <c r="H24" s="13">
        <v>2</v>
      </c>
      <c r="I24" s="13">
        <f t="shared" si="1"/>
        <v>9.1012729943870294</v>
      </c>
      <c r="J24" s="13">
        <v>5.0990195135927806E-2</v>
      </c>
      <c r="K24" s="13" t="s">
        <v>31</v>
      </c>
      <c r="L24" s="13" t="s">
        <v>31</v>
      </c>
      <c r="M24" s="13" t="s">
        <v>31</v>
      </c>
    </row>
    <row r="25" spans="1:13" ht="15.6">
      <c r="A25" s="7" t="s">
        <v>76</v>
      </c>
      <c r="B25" s="9">
        <f>8966.7/1000</f>
        <v>8.9667000000000012</v>
      </c>
      <c r="C25" s="13" t="s">
        <v>42</v>
      </c>
      <c r="D25" s="8" t="s">
        <v>40</v>
      </c>
      <c r="E25" s="13" t="s">
        <v>29</v>
      </c>
      <c r="F25" s="15" t="s">
        <v>74</v>
      </c>
      <c r="G25" s="13" t="s">
        <v>33</v>
      </c>
      <c r="H25" s="13">
        <v>2</v>
      </c>
      <c r="I25" s="13">
        <f t="shared" si="1"/>
        <v>2.193517715404893</v>
      </c>
      <c r="J25" s="13">
        <v>5.0990195135927806E-2</v>
      </c>
      <c r="K25" s="13" t="s">
        <v>31</v>
      </c>
      <c r="L25" s="13" t="s">
        <v>31</v>
      </c>
      <c r="M25" s="13" t="s">
        <v>31</v>
      </c>
    </row>
    <row r="26" spans="1:13" ht="15.6">
      <c r="A26" s="7" t="s">
        <v>77</v>
      </c>
      <c r="B26" s="9">
        <v>4938.8583600000002</v>
      </c>
      <c r="C26" s="13" t="s">
        <v>37</v>
      </c>
      <c r="D26" s="8" t="s">
        <v>43</v>
      </c>
      <c r="E26" s="13" t="s">
        <v>44</v>
      </c>
      <c r="F26" s="15" t="s">
        <v>29</v>
      </c>
      <c r="G26" s="13" t="s">
        <v>45</v>
      </c>
      <c r="H26" s="13">
        <v>2</v>
      </c>
      <c r="I26" s="13">
        <f t="shared" si="1"/>
        <v>8.5048894822593919</v>
      </c>
      <c r="J26" s="13">
        <v>5.0990195135927806E-2</v>
      </c>
      <c r="K26" s="13" t="s">
        <v>31</v>
      </c>
      <c r="L26" s="13" t="s">
        <v>31</v>
      </c>
      <c r="M26" s="13" t="s">
        <v>31</v>
      </c>
    </row>
    <row r="27" spans="1:13" ht="15.6">
      <c r="A27" s="7" t="s">
        <v>78</v>
      </c>
      <c r="B27" s="9">
        <v>47.01793158720001</v>
      </c>
      <c r="C27" s="13" t="s">
        <v>37</v>
      </c>
      <c r="D27" s="8" t="s">
        <v>43</v>
      </c>
      <c r="E27" s="13" t="s">
        <v>44</v>
      </c>
      <c r="F27" s="15" t="s">
        <v>29</v>
      </c>
      <c r="G27" s="13" t="s">
        <v>45</v>
      </c>
      <c r="H27" s="13">
        <v>2</v>
      </c>
      <c r="I27" s="13">
        <f t="shared" si="1"/>
        <v>3.85052905208053</v>
      </c>
      <c r="J27" s="13">
        <v>5.0990195135927806E-2</v>
      </c>
      <c r="K27" s="13" t="s">
        <v>31</v>
      </c>
      <c r="L27" s="13" t="s">
        <v>31</v>
      </c>
      <c r="M27" s="13" t="s">
        <v>31</v>
      </c>
    </row>
    <row r="28" spans="1:13" ht="15.6">
      <c r="A28" s="7" t="s">
        <v>79</v>
      </c>
      <c r="B28" s="9">
        <v>0.55150585020000009</v>
      </c>
      <c r="C28" s="13" t="s">
        <v>37</v>
      </c>
      <c r="D28" s="8" t="s">
        <v>43</v>
      </c>
      <c r="E28" s="13" t="s">
        <v>44</v>
      </c>
      <c r="F28" s="15" t="s">
        <v>29</v>
      </c>
      <c r="G28" s="13" t="s">
        <v>45</v>
      </c>
      <c r="H28" s="13">
        <v>2</v>
      </c>
      <c r="I28" s="13">
        <f t="shared" si="1"/>
        <v>-0.59510283254792451</v>
      </c>
      <c r="J28" s="13">
        <v>5.0990195135927806E-2</v>
      </c>
      <c r="K28" s="13" t="s">
        <v>31</v>
      </c>
      <c r="L28" s="13" t="s">
        <v>31</v>
      </c>
      <c r="M28" s="13" t="s">
        <v>31</v>
      </c>
    </row>
    <row r="29" spans="1:13" ht="15.6">
      <c r="A29" s="7" t="s">
        <v>80</v>
      </c>
      <c r="B29" s="9">
        <v>0.62558872560000001</v>
      </c>
      <c r="C29" s="13" t="s">
        <v>37</v>
      </c>
      <c r="D29" s="8" t="s">
        <v>43</v>
      </c>
      <c r="E29" s="13" t="s">
        <v>44</v>
      </c>
      <c r="F29" s="15" t="s">
        <v>29</v>
      </c>
      <c r="G29" s="13" t="s">
        <v>45</v>
      </c>
      <c r="H29" s="13">
        <v>2</v>
      </c>
      <c r="I29" s="13">
        <f t="shared" si="1"/>
        <v>-0.46906211165255962</v>
      </c>
      <c r="J29" s="13">
        <v>5.0990195135927806E-2</v>
      </c>
      <c r="K29" s="13" t="s">
        <v>31</v>
      </c>
      <c r="L29" s="13" t="s">
        <v>31</v>
      </c>
      <c r="M29" s="13" t="s">
        <v>31</v>
      </c>
    </row>
    <row r="30" spans="1:13" ht="15.6">
      <c r="A30" s="10" t="s">
        <v>81</v>
      </c>
      <c r="B30" s="9">
        <v>224.16750000000002</v>
      </c>
      <c r="C30" s="13" t="s">
        <v>37</v>
      </c>
      <c r="D30" s="8" t="s">
        <v>40</v>
      </c>
      <c r="E30" s="13" t="s">
        <v>29</v>
      </c>
      <c r="F30" s="15" t="s">
        <v>82</v>
      </c>
      <c r="G30" s="13" t="s">
        <v>33</v>
      </c>
      <c r="H30" s="13">
        <v>2</v>
      </c>
      <c r="I30" s="13">
        <f t="shared" si="1"/>
        <v>5.4123935402730936</v>
      </c>
      <c r="J30" s="13">
        <v>5.0990195135927806E-2</v>
      </c>
      <c r="K30" s="13" t="s">
        <v>31</v>
      </c>
      <c r="L30" s="13" t="s">
        <v>31</v>
      </c>
      <c r="M30" s="13" t="s">
        <v>31</v>
      </c>
    </row>
    <row r="31" spans="1:13" ht="15.6">
      <c r="A31" s="1" t="s">
        <v>5</v>
      </c>
      <c r="B31" s="2" t="s">
        <v>63</v>
      </c>
      <c r="C31" s="3"/>
      <c r="D31" s="11"/>
      <c r="E31" s="11"/>
      <c r="F31" s="11"/>
      <c r="G31" s="11"/>
      <c r="H31" s="11"/>
      <c r="I31" s="11"/>
      <c r="J31" s="11"/>
      <c r="K31" s="11"/>
      <c r="L31" s="11"/>
      <c r="M31" s="11"/>
    </row>
    <row r="32" spans="1:13">
      <c r="A32" s="12" t="s">
        <v>7</v>
      </c>
      <c r="B32" s="13" t="s">
        <v>49</v>
      </c>
      <c r="C32" s="4"/>
      <c r="D32" s="13"/>
      <c r="E32" s="13"/>
      <c r="F32" s="13"/>
      <c r="G32" s="13"/>
      <c r="H32" s="13"/>
      <c r="I32" s="13"/>
      <c r="J32" s="13"/>
      <c r="K32" s="13"/>
      <c r="L32" s="13"/>
      <c r="M32" s="13"/>
    </row>
    <row r="33" spans="1:13">
      <c r="A33" s="12" t="s">
        <v>9</v>
      </c>
      <c r="B33" s="13" t="s">
        <v>83</v>
      </c>
      <c r="C33" s="13"/>
      <c r="D33" s="13"/>
      <c r="E33" s="13"/>
      <c r="F33" s="13"/>
      <c r="G33" s="13"/>
      <c r="H33" s="13"/>
      <c r="I33" s="13"/>
      <c r="J33" s="13"/>
      <c r="K33" s="13"/>
      <c r="L33" s="13"/>
      <c r="M33" s="13"/>
    </row>
    <row r="34" spans="1:13" ht="29.1">
      <c r="A34" s="12" t="s">
        <v>11</v>
      </c>
      <c r="B34" s="14" t="s">
        <v>84</v>
      </c>
      <c r="C34" s="13"/>
      <c r="D34" s="13"/>
      <c r="E34" s="13"/>
      <c r="F34" s="13"/>
      <c r="G34" s="13"/>
      <c r="H34" s="13"/>
      <c r="I34" s="13"/>
      <c r="J34" s="13"/>
      <c r="K34" s="13"/>
      <c r="L34" s="13"/>
      <c r="M34" s="13"/>
    </row>
    <row r="35" spans="1:13">
      <c r="A35" s="12" t="s">
        <v>13</v>
      </c>
      <c r="B35" s="13" t="s">
        <v>14</v>
      </c>
      <c r="C35" s="13"/>
      <c r="D35" s="13"/>
      <c r="E35" s="13"/>
      <c r="F35" s="13"/>
      <c r="G35" s="13"/>
      <c r="H35" s="13"/>
      <c r="I35" s="13"/>
      <c r="J35" s="13"/>
      <c r="K35" s="13"/>
      <c r="L35" s="13"/>
      <c r="M35" s="13"/>
    </row>
    <row r="36" spans="1:13">
      <c r="A36" s="12" t="s">
        <v>15</v>
      </c>
      <c r="B36" s="13">
        <v>1</v>
      </c>
      <c r="C36" s="13"/>
      <c r="D36" s="13"/>
      <c r="E36" s="13"/>
      <c r="F36" s="13"/>
      <c r="G36" s="13"/>
      <c r="H36" s="13"/>
      <c r="I36" s="13"/>
      <c r="J36" s="13"/>
      <c r="K36" s="13"/>
      <c r="L36" s="13"/>
      <c r="M36" s="13"/>
    </row>
    <row r="37" spans="1:13">
      <c r="A37" s="12" t="s">
        <v>16</v>
      </c>
      <c r="B37" s="13" t="s">
        <v>17</v>
      </c>
      <c r="C37" s="13"/>
      <c r="D37" s="13"/>
      <c r="E37" s="13"/>
      <c r="F37" s="13"/>
      <c r="G37" s="13"/>
      <c r="H37" s="13"/>
      <c r="I37" s="13"/>
      <c r="J37" s="13"/>
      <c r="K37" s="13"/>
      <c r="L37" s="13"/>
      <c r="M37" s="13"/>
    </row>
    <row r="38" spans="1:13">
      <c r="A38" s="12" t="s">
        <v>18</v>
      </c>
      <c r="B38" s="13" t="s">
        <v>18</v>
      </c>
      <c r="C38" s="13"/>
      <c r="D38" s="13"/>
      <c r="E38" s="13"/>
      <c r="F38" s="13"/>
      <c r="G38" s="13"/>
      <c r="H38" s="13"/>
      <c r="I38" s="13"/>
      <c r="J38" s="13"/>
      <c r="K38" s="13"/>
      <c r="L38" s="13"/>
      <c r="M38" s="13"/>
    </row>
    <row r="39" spans="1:13" ht="15.6">
      <c r="A39" s="5" t="s">
        <v>19</v>
      </c>
      <c r="B39" s="13"/>
      <c r="C39" s="13"/>
      <c r="D39" s="13"/>
      <c r="E39" s="13"/>
      <c r="F39" s="13"/>
      <c r="G39" s="13"/>
      <c r="H39" s="13"/>
      <c r="I39" s="13"/>
      <c r="J39" s="13"/>
      <c r="K39" s="13"/>
      <c r="L39" s="13"/>
      <c r="M39" s="13"/>
    </row>
    <row r="40" spans="1:13" ht="15.6">
      <c r="A40" s="5" t="s">
        <v>20</v>
      </c>
      <c r="B40" s="6" t="s">
        <v>21</v>
      </c>
      <c r="C40" s="6" t="s">
        <v>18</v>
      </c>
      <c r="D40" s="6" t="s">
        <v>22</v>
      </c>
      <c r="E40" s="6" t="s">
        <v>7</v>
      </c>
      <c r="F40" s="6" t="s">
        <v>13</v>
      </c>
      <c r="G40" s="6" t="s">
        <v>16</v>
      </c>
      <c r="H40" s="6" t="s">
        <v>23</v>
      </c>
      <c r="I40" s="6" t="s">
        <v>24</v>
      </c>
      <c r="J40" s="6" t="s">
        <v>25</v>
      </c>
      <c r="K40" s="6" t="s">
        <v>26</v>
      </c>
      <c r="L40" s="6" t="s">
        <v>27</v>
      </c>
      <c r="M40" s="6" t="s">
        <v>28</v>
      </c>
    </row>
    <row r="41" spans="1:13" ht="15.6">
      <c r="A41" s="7" t="s">
        <v>63</v>
      </c>
      <c r="B41" s="13">
        <v>1</v>
      </c>
      <c r="C41" s="13" t="s">
        <v>18</v>
      </c>
      <c r="D41" s="8" t="s">
        <v>2</v>
      </c>
      <c r="E41" s="13" t="s">
        <v>29</v>
      </c>
      <c r="F41" s="15" t="s">
        <v>14</v>
      </c>
      <c r="G41" s="13" t="s">
        <v>30</v>
      </c>
      <c r="H41" s="13">
        <v>1</v>
      </c>
      <c r="I41" s="13">
        <v>1</v>
      </c>
      <c r="J41" s="13" t="s">
        <v>31</v>
      </c>
      <c r="K41" s="13" t="s">
        <v>31</v>
      </c>
      <c r="L41" s="13" t="s">
        <v>31</v>
      </c>
      <c r="M41" s="13" t="s">
        <v>31</v>
      </c>
    </row>
    <row r="42" spans="1:13" ht="15.6">
      <c r="A42" s="7" t="s">
        <v>85</v>
      </c>
      <c r="B42" s="13">
        <v>326.30015999999995</v>
      </c>
      <c r="C42" s="13" t="s">
        <v>37</v>
      </c>
      <c r="D42" s="8" t="s">
        <v>40</v>
      </c>
      <c r="E42" s="13" t="s">
        <v>29</v>
      </c>
      <c r="F42" s="15" t="s">
        <v>59</v>
      </c>
      <c r="G42" s="13" t="s">
        <v>33</v>
      </c>
      <c r="H42" s="13">
        <v>2</v>
      </c>
      <c r="I42" s="13">
        <f t="shared" ref="I42:I45" si="2">LN(B42)</f>
        <v>5.7878176939454615</v>
      </c>
      <c r="J42" s="13">
        <v>0.24083189157584584</v>
      </c>
      <c r="K42" s="13" t="s">
        <v>31</v>
      </c>
      <c r="L42" s="13" t="s">
        <v>31</v>
      </c>
      <c r="M42" s="13" t="s">
        <v>31</v>
      </c>
    </row>
    <row r="43" spans="1:13" ht="15.6">
      <c r="A43" s="7" t="s">
        <v>86</v>
      </c>
      <c r="B43" s="13">
        <v>120.23821</v>
      </c>
      <c r="C43" s="13" t="s">
        <v>37</v>
      </c>
      <c r="D43" s="8" t="s">
        <v>40</v>
      </c>
      <c r="E43" s="13" t="s">
        <v>29</v>
      </c>
      <c r="F43" s="15" t="s">
        <v>59</v>
      </c>
      <c r="G43" s="13" t="s">
        <v>33</v>
      </c>
      <c r="H43" s="13">
        <v>2</v>
      </c>
      <c r="I43" s="13">
        <f t="shared" si="2"/>
        <v>4.7894748584410269</v>
      </c>
      <c r="J43" s="13">
        <v>0.24083189157584584</v>
      </c>
      <c r="K43" s="13" t="s">
        <v>31</v>
      </c>
      <c r="L43" s="13" t="s">
        <v>31</v>
      </c>
      <c r="M43" s="13" t="s">
        <v>31</v>
      </c>
    </row>
    <row r="44" spans="1:13" ht="15.6">
      <c r="A44" s="7" t="s">
        <v>87</v>
      </c>
      <c r="B44" s="13">
        <v>3574.8561800000002</v>
      </c>
      <c r="C44" s="13" t="s">
        <v>37</v>
      </c>
      <c r="D44" s="8" t="s">
        <v>40</v>
      </c>
      <c r="E44" s="13" t="s">
        <v>29</v>
      </c>
      <c r="F44" s="15" t="s">
        <v>14</v>
      </c>
      <c r="G44" s="13" t="s">
        <v>33</v>
      </c>
      <c r="H44" s="13">
        <v>2</v>
      </c>
      <c r="I44" s="13">
        <f t="shared" si="2"/>
        <v>8.1816802249482556</v>
      </c>
      <c r="J44" s="13">
        <v>0.24083189157584584</v>
      </c>
      <c r="K44" s="13" t="s">
        <v>31</v>
      </c>
      <c r="L44" s="13" t="s">
        <v>31</v>
      </c>
      <c r="M44" s="13" t="s">
        <v>31</v>
      </c>
    </row>
    <row r="45" spans="1:13" ht="15.6">
      <c r="A45" s="7" t="s">
        <v>88</v>
      </c>
      <c r="B45" s="13">
        <v>227.30544999999998</v>
      </c>
      <c r="C45" s="13" t="s">
        <v>37</v>
      </c>
      <c r="D45" s="8" t="s">
        <v>40</v>
      </c>
      <c r="E45" s="13" t="s">
        <v>29</v>
      </c>
      <c r="F45" s="15" t="s">
        <v>59</v>
      </c>
      <c r="G45" s="13" t="s">
        <v>33</v>
      </c>
      <c r="H45" s="13">
        <v>2</v>
      </c>
      <c r="I45" s="13">
        <f t="shared" si="2"/>
        <v>5.4262947076937964</v>
      </c>
      <c r="J45" s="13">
        <v>0.24083189157584584</v>
      </c>
      <c r="K45" s="13" t="s">
        <v>31</v>
      </c>
      <c r="L45" s="13" t="s">
        <v>31</v>
      </c>
      <c r="M45" s="13" t="s">
        <v>31</v>
      </c>
    </row>
    <row r="46" spans="1:13" ht="15.6">
      <c r="A46" s="1" t="s">
        <v>5</v>
      </c>
      <c r="B46" s="2" t="s">
        <v>87</v>
      </c>
      <c r="C46" s="3"/>
      <c r="D46" s="11"/>
      <c r="E46" s="11"/>
      <c r="F46" s="11"/>
      <c r="G46" s="11"/>
      <c r="H46" s="11"/>
      <c r="I46" s="11"/>
      <c r="J46" s="11"/>
      <c r="K46" s="11"/>
      <c r="L46" s="11"/>
      <c r="M46" s="11"/>
    </row>
    <row r="47" spans="1:13">
      <c r="A47" s="12" t="s">
        <v>7</v>
      </c>
      <c r="B47" s="13" t="s">
        <v>49</v>
      </c>
      <c r="C47" s="4"/>
      <c r="D47" s="13"/>
      <c r="E47" s="13"/>
      <c r="F47" s="13"/>
      <c r="G47" s="13"/>
      <c r="H47" s="13"/>
      <c r="I47" s="13"/>
      <c r="J47" s="13"/>
      <c r="K47" s="13"/>
      <c r="L47" s="13"/>
      <c r="M47" s="13"/>
    </row>
    <row r="48" spans="1:13">
      <c r="A48" s="12" t="s">
        <v>9</v>
      </c>
      <c r="B48" s="13" t="s">
        <v>89</v>
      </c>
      <c r="C48" s="13"/>
      <c r="D48" s="13"/>
      <c r="E48" s="13"/>
      <c r="F48" s="13"/>
      <c r="G48" s="13"/>
      <c r="H48" s="13"/>
      <c r="I48" s="13"/>
      <c r="J48" s="13"/>
      <c r="K48" s="13"/>
      <c r="L48" s="13"/>
      <c r="M48" s="13"/>
    </row>
    <row r="49" spans="1:14">
      <c r="A49" s="12" t="s">
        <v>11</v>
      </c>
      <c r="B49" s="14" t="s">
        <v>90</v>
      </c>
      <c r="C49" s="13"/>
      <c r="D49" s="13"/>
      <c r="E49" s="13"/>
      <c r="F49" s="13"/>
      <c r="G49" s="13"/>
      <c r="H49" s="13"/>
      <c r="I49" s="13"/>
      <c r="J49" s="13"/>
      <c r="K49" s="13"/>
      <c r="L49" s="13"/>
      <c r="M49" s="13"/>
    </row>
    <row r="50" spans="1:14">
      <c r="A50" s="12" t="s">
        <v>13</v>
      </c>
      <c r="B50" s="13" t="s">
        <v>14</v>
      </c>
      <c r="C50" s="13"/>
      <c r="D50" s="13"/>
      <c r="E50" s="13"/>
      <c r="F50" s="13"/>
      <c r="G50" s="13"/>
      <c r="H50" s="13"/>
      <c r="I50" s="13"/>
      <c r="J50" s="13"/>
      <c r="K50" s="13"/>
      <c r="L50" s="13"/>
      <c r="M50" s="13"/>
    </row>
    <row r="51" spans="1:14">
      <c r="A51" s="12" t="s">
        <v>15</v>
      </c>
      <c r="B51" s="13">
        <v>1</v>
      </c>
      <c r="C51" s="13"/>
      <c r="D51" s="13"/>
      <c r="E51" s="13"/>
      <c r="F51" s="13"/>
      <c r="G51" s="13"/>
      <c r="H51" s="13"/>
      <c r="I51" s="13"/>
      <c r="J51" s="13"/>
      <c r="K51" s="13"/>
      <c r="L51" s="13"/>
      <c r="M51" s="13"/>
    </row>
    <row r="52" spans="1:14">
      <c r="A52" s="12" t="s">
        <v>16</v>
      </c>
      <c r="B52" s="13" t="s">
        <v>17</v>
      </c>
      <c r="C52" s="13"/>
      <c r="D52" s="13"/>
      <c r="E52" s="13"/>
      <c r="F52" s="13"/>
      <c r="G52" s="13"/>
      <c r="H52" s="13"/>
      <c r="I52" s="13"/>
      <c r="J52" s="13"/>
      <c r="K52" s="13"/>
      <c r="L52" s="13"/>
      <c r="M52" s="13"/>
    </row>
    <row r="53" spans="1:14">
      <c r="A53" s="12" t="s">
        <v>18</v>
      </c>
      <c r="B53" s="13" t="s">
        <v>37</v>
      </c>
      <c r="C53" s="13"/>
      <c r="D53" s="13"/>
      <c r="E53" s="13"/>
      <c r="F53" s="13"/>
      <c r="G53" s="13"/>
      <c r="H53" s="13"/>
      <c r="I53" s="13"/>
      <c r="J53" s="13"/>
      <c r="K53" s="13"/>
      <c r="L53" s="13"/>
      <c r="M53" s="13"/>
    </row>
    <row r="54" spans="1:14" ht="15.6">
      <c r="A54" s="5" t="s">
        <v>19</v>
      </c>
      <c r="B54" s="13"/>
      <c r="C54" s="13"/>
      <c r="D54" s="13"/>
      <c r="E54" s="13"/>
      <c r="F54" s="13"/>
      <c r="G54" s="13"/>
      <c r="H54" s="13"/>
      <c r="I54" s="13"/>
      <c r="J54" s="13"/>
      <c r="K54" s="13"/>
      <c r="L54" s="13"/>
      <c r="M54" s="13"/>
    </row>
    <row r="55" spans="1:14" ht="15.6">
      <c r="A55" s="5" t="s">
        <v>20</v>
      </c>
      <c r="B55" s="6" t="s">
        <v>21</v>
      </c>
      <c r="C55" s="6" t="s">
        <v>18</v>
      </c>
      <c r="D55" s="6" t="s">
        <v>22</v>
      </c>
      <c r="E55" s="6" t="s">
        <v>7</v>
      </c>
      <c r="F55" s="6" t="s">
        <v>13</v>
      </c>
      <c r="G55" s="6" t="s">
        <v>16</v>
      </c>
      <c r="H55" s="6" t="s">
        <v>23</v>
      </c>
      <c r="I55" s="6" t="s">
        <v>24</v>
      </c>
      <c r="J55" s="6" t="s">
        <v>25</v>
      </c>
      <c r="K55" s="6" t="s">
        <v>26</v>
      </c>
      <c r="L55" s="6" t="s">
        <v>27</v>
      </c>
      <c r="M55" s="6" t="s">
        <v>28</v>
      </c>
    </row>
    <row r="56" spans="1:14" ht="15.6">
      <c r="A56" s="7" t="s">
        <v>87</v>
      </c>
      <c r="B56" s="13">
        <v>1</v>
      </c>
      <c r="C56" s="13" t="s">
        <v>37</v>
      </c>
      <c r="D56" s="8" t="s">
        <v>2</v>
      </c>
      <c r="E56" s="13" t="s">
        <v>29</v>
      </c>
      <c r="F56" s="15" t="s">
        <v>14</v>
      </c>
      <c r="G56" s="13" t="s">
        <v>30</v>
      </c>
      <c r="H56" s="13">
        <v>1</v>
      </c>
      <c r="I56" s="13">
        <v>1</v>
      </c>
      <c r="J56" s="13" t="s">
        <v>31</v>
      </c>
      <c r="K56" s="13" t="s">
        <v>31</v>
      </c>
      <c r="L56" s="13" t="s">
        <v>31</v>
      </c>
      <c r="M56" s="13" t="s">
        <v>31</v>
      </c>
    </row>
    <row r="57" spans="1:14" ht="15.6">
      <c r="A57" s="7" t="s">
        <v>91</v>
      </c>
      <c r="B57" s="13">
        <f>N57/$B$44</f>
        <v>1.1088</v>
      </c>
      <c r="C57" s="13" t="s">
        <v>37</v>
      </c>
      <c r="D57" s="8" t="s">
        <v>40</v>
      </c>
      <c r="E57" s="13" t="s">
        <v>29</v>
      </c>
      <c r="F57" s="15" t="s">
        <v>59</v>
      </c>
      <c r="G57" s="13" t="s">
        <v>33</v>
      </c>
      <c r="H57" s="13">
        <v>2</v>
      </c>
      <c r="I57" s="13">
        <f t="shared" ref="I57:I65" si="3">LN(B57)</f>
        <v>0.10327834945350174</v>
      </c>
      <c r="J57" s="13">
        <v>0.22113344400000001</v>
      </c>
      <c r="K57" s="13" t="s">
        <v>31</v>
      </c>
      <c r="L57" s="13" t="s">
        <v>31</v>
      </c>
      <c r="M57" s="13" t="s">
        <v>31</v>
      </c>
      <c r="N57">
        <v>3963.8005323840002</v>
      </c>
    </row>
    <row r="58" spans="1:14" ht="15.6">
      <c r="A58" s="7" t="s">
        <v>92</v>
      </c>
      <c r="B58" s="13">
        <f t="shared" ref="B58:B65" si="4">N58/$B$44</f>
        <v>0.57120000000000004</v>
      </c>
      <c r="C58" s="13" t="s">
        <v>37</v>
      </c>
      <c r="D58" s="8" t="s">
        <v>40</v>
      </c>
      <c r="E58" s="13" t="s">
        <v>29</v>
      </c>
      <c r="F58" s="15" t="s">
        <v>35</v>
      </c>
      <c r="G58" s="13" t="s">
        <v>33</v>
      </c>
      <c r="H58" s="13">
        <v>2</v>
      </c>
      <c r="I58" s="13">
        <f t="shared" si="3"/>
        <v>-0.56001586795676239</v>
      </c>
      <c r="J58" s="13">
        <v>0.22113344400000001</v>
      </c>
      <c r="K58" s="13" t="s">
        <v>31</v>
      </c>
      <c r="L58" s="13" t="s">
        <v>31</v>
      </c>
      <c r="M58" s="13" t="s">
        <v>31</v>
      </c>
      <c r="N58">
        <v>2041.9578500160003</v>
      </c>
    </row>
    <row r="59" spans="1:14" ht="15.6">
      <c r="A59" s="7" t="s">
        <v>93</v>
      </c>
      <c r="B59" s="13">
        <f t="shared" si="4"/>
        <v>0.28299999999999997</v>
      </c>
      <c r="C59" s="13" t="s">
        <v>37</v>
      </c>
      <c r="D59" s="8" t="s">
        <v>40</v>
      </c>
      <c r="E59" s="13" t="s">
        <v>29</v>
      </c>
      <c r="F59" s="15" t="s">
        <v>35</v>
      </c>
      <c r="G59" s="13" t="s">
        <v>33</v>
      </c>
      <c r="H59" s="13">
        <v>2</v>
      </c>
      <c r="I59" s="13">
        <f t="shared" si="3"/>
        <v>-1.2623083813388996</v>
      </c>
      <c r="J59" s="13">
        <v>0.22113344400000001</v>
      </c>
      <c r="K59" s="13" t="s">
        <v>31</v>
      </c>
      <c r="L59" s="13" t="s">
        <v>31</v>
      </c>
      <c r="M59" s="13" t="s">
        <v>31</v>
      </c>
      <c r="N59">
        <v>1011.68429894</v>
      </c>
    </row>
    <row r="60" spans="1:14" ht="15.6">
      <c r="A60" s="7" t="s">
        <v>94</v>
      </c>
      <c r="B60" s="13">
        <f t="shared" si="4"/>
        <v>0.44999999999999996</v>
      </c>
      <c r="C60" s="13" t="s">
        <v>37</v>
      </c>
      <c r="D60" s="8" t="s">
        <v>40</v>
      </c>
      <c r="E60" s="13" t="s">
        <v>29</v>
      </c>
      <c r="F60" s="15" t="s">
        <v>59</v>
      </c>
      <c r="G60" s="13" t="s">
        <v>33</v>
      </c>
      <c r="H60" s="13">
        <v>2</v>
      </c>
      <c r="I60" s="13">
        <f t="shared" si="3"/>
        <v>-0.79850769621777173</v>
      </c>
      <c r="J60" s="13">
        <v>0.22113344400000001</v>
      </c>
      <c r="K60" s="13" t="s">
        <v>31</v>
      </c>
      <c r="L60" s="13" t="s">
        <v>31</v>
      </c>
      <c r="M60" s="13" t="s">
        <v>31</v>
      </c>
      <c r="N60">
        <v>1608.685281</v>
      </c>
    </row>
    <row r="61" spans="1:14" ht="15.6">
      <c r="A61" s="7" t="s">
        <v>95</v>
      </c>
      <c r="B61" s="13">
        <f t="shared" si="4"/>
        <v>4.0999999999999995E-2</v>
      </c>
      <c r="C61" s="13" t="s">
        <v>37</v>
      </c>
      <c r="D61" s="8" t="s">
        <v>40</v>
      </c>
      <c r="E61" s="13" t="s">
        <v>29</v>
      </c>
      <c r="F61" s="15" t="s">
        <v>59</v>
      </c>
      <c r="G61" s="13" t="s">
        <v>33</v>
      </c>
      <c r="H61" s="13">
        <v>2</v>
      </c>
      <c r="I61" s="13">
        <f t="shared" si="3"/>
        <v>-3.1941832122778293</v>
      </c>
      <c r="J61" s="13">
        <v>0.22113344400000001</v>
      </c>
      <c r="K61" s="13" t="s">
        <v>31</v>
      </c>
      <c r="L61" s="13" t="s">
        <v>31</v>
      </c>
      <c r="M61" s="13" t="s">
        <v>31</v>
      </c>
      <c r="N61">
        <v>146.56910338</v>
      </c>
    </row>
    <row r="62" spans="1:14" ht="15.6">
      <c r="A62" s="7" t="s">
        <v>96</v>
      </c>
      <c r="B62" s="13">
        <f t="shared" si="4"/>
        <v>1.4999999999999999E-2</v>
      </c>
      <c r="C62" s="13" t="s">
        <v>37</v>
      </c>
      <c r="D62" s="8" t="s">
        <v>40</v>
      </c>
      <c r="E62" s="13" t="s">
        <v>29</v>
      </c>
      <c r="F62" s="15" t="s">
        <v>59</v>
      </c>
      <c r="G62" s="13" t="s">
        <v>33</v>
      </c>
      <c r="H62" s="13">
        <v>2</v>
      </c>
      <c r="I62" s="13">
        <f t="shared" si="3"/>
        <v>-4.1997050778799272</v>
      </c>
      <c r="J62" s="13">
        <v>0.22113344400000001</v>
      </c>
      <c r="K62" s="13" t="s">
        <v>31</v>
      </c>
      <c r="L62" s="13" t="s">
        <v>31</v>
      </c>
      <c r="M62" s="13" t="s">
        <v>31</v>
      </c>
      <c r="N62">
        <v>53.6228427</v>
      </c>
    </row>
    <row r="63" spans="1:14" ht="15.6">
      <c r="A63" s="7" t="s">
        <v>97</v>
      </c>
      <c r="B63" s="13">
        <f t="shared" si="4"/>
        <v>7.5600000000000001E-2</v>
      </c>
      <c r="C63" s="13" t="s">
        <v>37</v>
      </c>
      <c r="D63" s="8" t="s">
        <v>40</v>
      </c>
      <c r="E63" s="13" t="s">
        <v>29</v>
      </c>
      <c r="F63" s="15" t="s">
        <v>59</v>
      </c>
      <c r="G63" s="13" t="s">
        <v>33</v>
      </c>
      <c r="H63" s="13">
        <v>2</v>
      </c>
      <c r="I63" s="13">
        <f t="shared" si="3"/>
        <v>-2.5822989957966498</v>
      </c>
      <c r="J63" s="13">
        <v>0.22113344400000001</v>
      </c>
      <c r="K63" s="13" t="s">
        <v>31</v>
      </c>
      <c r="L63" s="13" t="s">
        <v>31</v>
      </c>
      <c r="M63" s="13" t="s">
        <v>31</v>
      </c>
      <c r="N63">
        <v>270.259127208</v>
      </c>
    </row>
    <row r="64" spans="1:14" ht="15.6">
      <c r="A64" s="7" t="s">
        <v>98</v>
      </c>
      <c r="B64" s="13">
        <f t="shared" si="4"/>
        <v>10</v>
      </c>
      <c r="C64" s="13" t="s">
        <v>37</v>
      </c>
      <c r="D64" s="8" t="s">
        <v>40</v>
      </c>
      <c r="E64" s="13" t="s">
        <v>29</v>
      </c>
      <c r="F64" s="15" t="s">
        <v>59</v>
      </c>
      <c r="G64" s="13" t="s">
        <v>33</v>
      </c>
      <c r="H64" s="13">
        <v>2</v>
      </c>
      <c r="I64" s="13">
        <f t="shared" si="3"/>
        <v>2.3025850929940459</v>
      </c>
      <c r="J64" s="13">
        <v>0.22113344400000001</v>
      </c>
      <c r="K64" s="13" t="s">
        <v>31</v>
      </c>
      <c r="L64" s="13" t="s">
        <v>31</v>
      </c>
      <c r="M64" s="13" t="s">
        <v>31</v>
      </c>
      <c r="N64">
        <v>35748.561800000003</v>
      </c>
    </row>
    <row r="65" spans="1:14" ht="15.6">
      <c r="A65" s="7" t="s">
        <v>38</v>
      </c>
      <c r="B65" s="13">
        <f t="shared" si="4"/>
        <v>17.061999999116047</v>
      </c>
      <c r="C65" s="13" t="s">
        <v>39</v>
      </c>
      <c r="D65" s="8" t="s">
        <v>40</v>
      </c>
      <c r="E65" s="13" t="s">
        <v>29</v>
      </c>
      <c r="F65" s="15" t="s">
        <v>14</v>
      </c>
      <c r="G65" s="13" t="s">
        <v>33</v>
      </c>
      <c r="H65" s="13">
        <v>2</v>
      </c>
      <c r="I65" s="13">
        <f t="shared" si="3"/>
        <v>2.8368537684346946</v>
      </c>
      <c r="J65" s="13">
        <v>0.22113344400000001</v>
      </c>
      <c r="K65" s="13" t="s">
        <v>31</v>
      </c>
      <c r="L65" s="13" t="s">
        <v>31</v>
      </c>
      <c r="M65" s="13" t="s">
        <v>31</v>
      </c>
      <c r="N65">
        <v>60994.19614</v>
      </c>
    </row>
    <row r="66" spans="1:14" ht="15.6">
      <c r="A66" s="1" t="s">
        <v>5</v>
      </c>
      <c r="B66" s="2" t="s">
        <v>64</v>
      </c>
      <c r="C66" s="3"/>
      <c r="D66" s="11"/>
      <c r="E66" s="11"/>
      <c r="F66" s="11"/>
      <c r="G66" s="11"/>
      <c r="H66" s="11"/>
      <c r="I66" s="11"/>
      <c r="J66" s="11"/>
      <c r="K66" s="11"/>
      <c r="L66" s="11"/>
      <c r="M66" s="11"/>
    </row>
    <row r="67" spans="1:14">
      <c r="A67" s="12" t="s">
        <v>7</v>
      </c>
      <c r="B67" s="13" t="s">
        <v>49</v>
      </c>
      <c r="C67" s="4"/>
      <c r="D67" s="13"/>
      <c r="E67" s="13"/>
      <c r="F67" s="13"/>
      <c r="G67" s="13"/>
      <c r="H67" s="13"/>
      <c r="I67" s="13"/>
      <c r="J67" s="13"/>
      <c r="K67" s="13"/>
      <c r="L67" s="13"/>
      <c r="M67" s="13"/>
    </row>
    <row r="68" spans="1:14">
      <c r="A68" s="12" t="s">
        <v>9</v>
      </c>
      <c r="B68" s="13" t="s">
        <v>99</v>
      </c>
      <c r="C68" s="13"/>
      <c r="D68" s="13"/>
      <c r="E68" s="13"/>
      <c r="F68" s="13"/>
      <c r="G68" s="13"/>
      <c r="H68" s="13"/>
      <c r="I68" s="13"/>
      <c r="J68" s="13"/>
      <c r="K68" s="13"/>
      <c r="L68" s="13"/>
      <c r="M68" s="13"/>
    </row>
    <row r="69" spans="1:14" ht="29.1">
      <c r="A69" s="12" t="s">
        <v>11</v>
      </c>
      <c r="B69" s="14" t="s">
        <v>100</v>
      </c>
      <c r="C69" s="13"/>
      <c r="D69" s="13"/>
      <c r="E69" s="13"/>
      <c r="F69" s="13"/>
      <c r="G69" s="13"/>
      <c r="H69" s="13"/>
      <c r="I69" s="13"/>
      <c r="J69" s="13"/>
      <c r="K69" s="13"/>
      <c r="L69" s="13"/>
      <c r="M69" s="13"/>
    </row>
    <row r="70" spans="1:14">
      <c r="A70" s="12" t="s">
        <v>13</v>
      </c>
      <c r="B70" s="13" t="s">
        <v>14</v>
      </c>
      <c r="C70" s="13"/>
      <c r="D70" s="13"/>
      <c r="E70" s="13"/>
      <c r="F70" s="13"/>
      <c r="G70" s="13"/>
      <c r="H70" s="13"/>
      <c r="I70" s="13"/>
      <c r="J70" s="13"/>
      <c r="K70" s="13"/>
      <c r="L70" s="13"/>
      <c r="M70" s="13"/>
    </row>
    <row r="71" spans="1:14">
      <c r="A71" s="12" t="s">
        <v>15</v>
      </c>
      <c r="B71" s="13">
        <v>1</v>
      </c>
      <c r="C71" s="13"/>
      <c r="D71" s="13"/>
      <c r="E71" s="13"/>
      <c r="F71" s="13"/>
      <c r="G71" s="13"/>
      <c r="H71" s="13"/>
      <c r="I71" s="13"/>
      <c r="J71" s="13"/>
      <c r="K71" s="13"/>
      <c r="L71" s="13"/>
      <c r="M71" s="13"/>
    </row>
    <row r="72" spans="1:14">
      <c r="A72" s="12" t="s">
        <v>16</v>
      </c>
      <c r="B72" s="13" t="s">
        <v>17</v>
      </c>
      <c r="C72" s="13"/>
      <c r="D72" s="13"/>
      <c r="E72" s="13"/>
      <c r="F72" s="13"/>
      <c r="G72" s="13"/>
      <c r="H72" s="13"/>
      <c r="I72" s="13"/>
      <c r="J72" s="13"/>
      <c r="K72" s="13"/>
      <c r="L72" s="13"/>
      <c r="M72" s="13"/>
    </row>
    <row r="73" spans="1:14">
      <c r="A73" s="12" t="s">
        <v>18</v>
      </c>
      <c r="B73" s="13" t="s">
        <v>18</v>
      </c>
      <c r="C73" s="13"/>
      <c r="D73" s="13"/>
      <c r="E73" s="13"/>
      <c r="F73" s="13"/>
      <c r="G73" s="13"/>
      <c r="H73" s="13"/>
      <c r="I73" s="13"/>
      <c r="J73" s="13"/>
      <c r="K73" s="13"/>
      <c r="L73" s="13"/>
      <c r="M73" s="13"/>
    </row>
    <row r="74" spans="1:14" ht="15.6">
      <c r="A74" s="5" t="s">
        <v>19</v>
      </c>
      <c r="B74" s="13"/>
      <c r="C74" s="13"/>
      <c r="D74" s="13"/>
      <c r="E74" s="13"/>
      <c r="F74" s="13"/>
      <c r="G74" s="13"/>
      <c r="H74" s="13"/>
      <c r="I74" s="13"/>
      <c r="J74" s="13"/>
      <c r="K74" s="13"/>
      <c r="L74" s="13"/>
      <c r="M74" s="13"/>
    </row>
    <row r="75" spans="1:14" ht="15.6">
      <c r="A75" s="5" t="s">
        <v>20</v>
      </c>
      <c r="B75" s="6" t="s">
        <v>21</v>
      </c>
      <c r="C75" s="6" t="s">
        <v>18</v>
      </c>
      <c r="D75" s="6" t="s">
        <v>22</v>
      </c>
      <c r="E75" s="6" t="s">
        <v>7</v>
      </c>
      <c r="F75" s="6" t="s">
        <v>13</v>
      </c>
      <c r="G75" s="6" t="s">
        <v>16</v>
      </c>
      <c r="H75" s="6" t="s">
        <v>23</v>
      </c>
      <c r="I75" s="6" t="s">
        <v>24</v>
      </c>
      <c r="J75" s="6" t="s">
        <v>25</v>
      </c>
      <c r="K75" s="6" t="s">
        <v>26</v>
      </c>
      <c r="L75" s="6" t="s">
        <v>27</v>
      </c>
      <c r="M75" s="6" t="s">
        <v>28</v>
      </c>
    </row>
    <row r="76" spans="1:14" ht="15.6">
      <c r="A76" s="7" t="s">
        <v>64</v>
      </c>
      <c r="B76" s="13">
        <v>1</v>
      </c>
      <c r="C76" s="13" t="s">
        <v>18</v>
      </c>
      <c r="D76" s="8" t="s">
        <v>2</v>
      </c>
      <c r="E76" s="13" t="s">
        <v>29</v>
      </c>
      <c r="F76" s="15" t="s">
        <v>14</v>
      </c>
      <c r="G76" s="13" t="s">
        <v>30</v>
      </c>
      <c r="H76" s="13">
        <v>1</v>
      </c>
      <c r="I76" s="13">
        <v>1</v>
      </c>
      <c r="J76" s="13" t="s">
        <v>31</v>
      </c>
      <c r="K76" s="13" t="s">
        <v>31</v>
      </c>
      <c r="L76" s="13" t="s">
        <v>31</v>
      </c>
      <c r="M76" s="13" t="s">
        <v>31</v>
      </c>
    </row>
    <row r="77" spans="1:14" ht="15.6">
      <c r="A77" s="7" t="s">
        <v>85</v>
      </c>
      <c r="B77" s="13">
        <v>9.8363345764517867</v>
      </c>
      <c r="C77" s="13" t="s">
        <v>37</v>
      </c>
      <c r="D77" s="8" t="s">
        <v>40</v>
      </c>
      <c r="E77" s="13" t="s">
        <v>29</v>
      </c>
      <c r="F77" s="15" t="s">
        <v>59</v>
      </c>
      <c r="G77" s="13" t="s">
        <v>33</v>
      </c>
      <c r="H77" s="13">
        <v>2</v>
      </c>
      <c r="I77" s="13">
        <f>LN(B77)</f>
        <v>2.2860831392748007</v>
      </c>
      <c r="J77" s="13">
        <v>0.24083189157584584</v>
      </c>
      <c r="K77" s="13" t="s">
        <v>31</v>
      </c>
      <c r="L77" s="13" t="s">
        <v>31</v>
      </c>
      <c r="M77" s="13" t="s">
        <v>31</v>
      </c>
    </row>
    <row r="78" spans="1:14" ht="15.6">
      <c r="A78" s="7" t="s">
        <v>97</v>
      </c>
      <c r="B78" s="13">
        <v>167.70463505594034</v>
      </c>
      <c r="C78" s="13" t="s">
        <v>37</v>
      </c>
      <c r="D78" s="8" t="s">
        <v>40</v>
      </c>
      <c r="E78" s="13" t="s">
        <v>29</v>
      </c>
      <c r="F78" s="15" t="s">
        <v>59</v>
      </c>
      <c r="G78" s="13" t="s">
        <v>33</v>
      </c>
      <c r="H78" s="13">
        <v>2</v>
      </c>
      <c r="I78" s="13">
        <f>LN(B78)</f>
        <v>5.1222043074212174</v>
      </c>
      <c r="J78" s="13">
        <v>0.24083189157584584</v>
      </c>
      <c r="K78" s="13" t="s">
        <v>31</v>
      </c>
      <c r="L78" s="13" t="s">
        <v>31</v>
      </c>
      <c r="M78" s="13" t="s">
        <v>31</v>
      </c>
    </row>
    <row r="79" spans="1:14" ht="15.6">
      <c r="A79" s="7" t="s">
        <v>101</v>
      </c>
      <c r="B79" s="13">
        <v>5.2590303676078856</v>
      </c>
      <c r="C79" s="13" t="s">
        <v>37</v>
      </c>
      <c r="D79" s="8" t="s">
        <v>40</v>
      </c>
      <c r="E79" s="13" t="s">
        <v>29</v>
      </c>
      <c r="F79" s="15" t="s">
        <v>59</v>
      </c>
      <c r="G79" s="13" t="s">
        <v>33</v>
      </c>
      <c r="H79" s="13">
        <v>2</v>
      </c>
      <c r="I79" s="13">
        <f>LN(B79)</f>
        <v>1.6599466689978153</v>
      </c>
      <c r="J79" s="13">
        <v>0.24083189157584584</v>
      </c>
      <c r="K79" s="13" t="s">
        <v>31</v>
      </c>
      <c r="L79" s="13" t="s">
        <v>31</v>
      </c>
      <c r="M79" s="13" t="s">
        <v>31</v>
      </c>
    </row>
    <row r="80" spans="1:14" ht="15.6">
      <c r="A80" s="1" t="s">
        <v>5</v>
      </c>
      <c r="B80" s="2" t="s">
        <v>65</v>
      </c>
      <c r="C80" s="3"/>
      <c r="D80" s="11"/>
      <c r="E80" s="11"/>
      <c r="F80" s="11"/>
      <c r="G80" s="11"/>
      <c r="H80" s="11"/>
      <c r="I80" s="11"/>
      <c r="J80" s="11"/>
      <c r="K80" s="11"/>
      <c r="L80" s="11"/>
      <c r="M80" s="11"/>
    </row>
    <row r="81" spans="1:13">
      <c r="A81" s="12" t="s">
        <v>7</v>
      </c>
      <c r="B81" s="13" t="s">
        <v>49</v>
      </c>
      <c r="C81" s="4"/>
      <c r="D81" s="13"/>
      <c r="E81" s="13"/>
      <c r="F81" s="13"/>
      <c r="G81" s="13"/>
      <c r="H81" s="13"/>
      <c r="I81" s="13"/>
      <c r="J81" s="13"/>
      <c r="K81" s="13"/>
      <c r="L81" s="13"/>
      <c r="M81" s="13"/>
    </row>
    <row r="82" spans="1:13">
      <c r="A82" s="12" t="s">
        <v>9</v>
      </c>
      <c r="B82" s="13" t="s">
        <v>102</v>
      </c>
      <c r="C82" s="13"/>
      <c r="D82" s="13"/>
      <c r="E82" s="13"/>
      <c r="F82" s="13"/>
      <c r="G82" s="13"/>
      <c r="H82" s="13"/>
      <c r="I82" s="13"/>
      <c r="J82" s="13"/>
      <c r="K82" s="13"/>
      <c r="L82" s="13"/>
      <c r="M82" s="13"/>
    </row>
    <row r="83" spans="1:13" ht="29.1">
      <c r="A83" s="12" t="s">
        <v>11</v>
      </c>
      <c r="B83" s="14" t="s">
        <v>103</v>
      </c>
      <c r="C83" s="13"/>
      <c r="D83" s="13"/>
      <c r="E83" s="13"/>
      <c r="F83" s="13"/>
      <c r="G83" s="13"/>
      <c r="H83" s="13"/>
      <c r="I83" s="13"/>
      <c r="J83" s="13"/>
      <c r="K83" s="13"/>
      <c r="L83" s="13"/>
      <c r="M83" s="13"/>
    </row>
    <row r="84" spans="1:13">
      <c r="A84" s="12" t="s">
        <v>13</v>
      </c>
      <c r="B84" s="13" t="s">
        <v>14</v>
      </c>
      <c r="C84" s="13"/>
      <c r="D84" s="13"/>
      <c r="E84" s="13"/>
      <c r="F84" s="13"/>
      <c r="G84" s="13"/>
      <c r="H84" s="13"/>
      <c r="I84" s="13"/>
      <c r="J84" s="13"/>
      <c r="K84" s="13"/>
      <c r="L84" s="13"/>
      <c r="M84" s="13"/>
    </row>
    <row r="85" spans="1:13">
      <c r="A85" s="12" t="s">
        <v>15</v>
      </c>
      <c r="B85" s="13">
        <v>1</v>
      </c>
      <c r="C85" s="13"/>
      <c r="D85" s="13"/>
      <c r="E85" s="13"/>
      <c r="F85" s="13"/>
      <c r="G85" s="13"/>
      <c r="H85" s="13"/>
      <c r="I85" s="13"/>
      <c r="J85" s="13"/>
      <c r="K85" s="13"/>
      <c r="L85" s="13"/>
      <c r="M85" s="13"/>
    </row>
    <row r="86" spans="1:13">
      <c r="A86" s="12" t="s">
        <v>16</v>
      </c>
      <c r="B86" s="13" t="s">
        <v>17</v>
      </c>
      <c r="C86" s="13"/>
      <c r="D86" s="13"/>
      <c r="E86" s="13"/>
      <c r="F86" s="13"/>
      <c r="G86" s="13"/>
      <c r="H86" s="13"/>
      <c r="I86" s="13"/>
      <c r="J86" s="13"/>
      <c r="K86" s="13"/>
      <c r="L86" s="13"/>
      <c r="M86" s="13"/>
    </row>
    <row r="87" spans="1:13">
      <c r="A87" s="12" t="s">
        <v>18</v>
      </c>
      <c r="B87" s="13" t="s">
        <v>18</v>
      </c>
      <c r="C87" s="13"/>
      <c r="D87" s="13"/>
      <c r="E87" s="13"/>
      <c r="F87" s="13"/>
      <c r="G87" s="13"/>
      <c r="H87" s="13"/>
      <c r="I87" s="13"/>
      <c r="J87" s="13"/>
      <c r="K87" s="13"/>
      <c r="L87" s="13"/>
      <c r="M87" s="13"/>
    </row>
    <row r="88" spans="1:13" ht="15.6">
      <c r="A88" s="5" t="s">
        <v>19</v>
      </c>
      <c r="B88" s="13"/>
      <c r="C88" s="13"/>
      <c r="D88" s="13"/>
      <c r="E88" s="13"/>
      <c r="F88" s="13"/>
      <c r="G88" s="13"/>
      <c r="H88" s="13"/>
      <c r="I88" s="13"/>
      <c r="J88" s="13"/>
      <c r="K88" s="13"/>
      <c r="L88" s="13"/>
      <c r="M88" s="13"/>
    </row>
    <row r="89" spans="1:13" ht="15.6">
      <c r="A89" s="5" t="s">
        <v>20</v>
      </c>
      <c r="B89" s="6" t="s">
        <v>21</v>
      </c>
      <c r="C89" s="6" t="s">
        <v>18</v>
      </c>
      <c r="D89" s="6" t="s">
        <v>22</v>
      </c>
      <c r="E89" s="6" t="s">
        <v>7</v>
      </c>
      <c r="F89" s="6" t="s">
        <v>13</v>
      </c>
      <c r="G89" s="6" t="s">
        <v>16</v>
      </c>
      <c r="H89" s="6" t="s">
        <v>23</v>
      </c>
      <c r="I89" s="6" t="s">
        <v>24</v>
      </c>
      <c r="J89" s="6" t="s">
        <v>25</v>
      </c>
      <c r="K89" s="6" t="s">
        <v>26</v>
      </c>
      <c r="L89" s="6" t="s">
        <v>27</v>
      </c>
      <c r="M89" s="6" t="s">
        <v>28</v>
      </c>
    </row>
    <row r="90" spans="1:13" ht="15.6">
      <c r="A90" s="7" t="s">
        <v>65</v>
      </c>
      <c r="B90" s="13">
        <v>1</v>
      </c>
      <c r="C90" s="13" t="s">
        <v>18</v>
      </c>
      <c r="D90" s="8" t="s">
        <v>2</v>
      </c>
      <c r="E90" s="13" t="s">
        <v>29</v>
      </c>
      <c r="F90" s="15" t="s">
        <v>14</v>
      </c>
      <c r="G90" s="13" t="s">
        <v>30</v>
      </c>
      <c r="H90" s="13">
        <v>1</v>
      </c>
      <c r="I90" s="13">
        <v>1</v>
      </c>
      <c r="J90" s="13" t="s">
        <v>31</v>
      </c>
      <c r="K90" s="13" t="s">
        <v>31</v>
      </c>
      <c r="L90" s="13" t="s">
        <v>31</v>
      </c>
      <c r="M90" s="13" t="s">
        <v>31</v>
      </c>
    </row>
    <row r="91" spans="1:13" ht="15.6">
      <c r="A91" s="7" t="s">
        <v>85</v>
      </c>
      <c r="B91" s="13">
        <v>8.9704697986577191</v>
      </c>
      <c r="C91" s="13" t="s">
        <v>37</v>
      </c>
      <c r="D91" s="8" t="s">
        <v>40</v>
      </c>
      <c r="E91" s="13" t="s">
        <v>29</v>
      </c>
      <c r="F91" s="15" t="s">
        <v>59</v>
      </c>
      <c r="G91" s="13" t="s">
        <v>33</v>
      </c>
      <c r="H91" s="13">
        <v>2</v>
      </c>
      <c r="I91" s="13">
        <f>LN(B91)</f>
        <v>2.1939380491315106</v>
      </c>
      <c r="J91" s="13">
        <v>0.24083189157584584</v>
      </c>
      <c r="K91" s="13" t="s">
        <v>31</v>
      </c>
      <c r="L91" s="13" t="s">
        <v>31</v>
      </c>
      <c r="M91" s="13" t="s">
        <v>31</v>
      </c>
    </row>
    <row r="92" spans="1:13" ht="15.6">
      <c r="A92" s="7" t="s">
        <v>97</v>
      </c>
      <c r="B92" s="13">
        <v>143.52751677852351</v>
      </c>
      <c r="C92" s="13" t="s">
        <v>37</v>
      </c>
      <c r="D92" s="8" t="s">
        <v>40</v>
      </c>
      <c r="E92" s="13" t="s">
        <v>29</v>
      </c>
      <c r="F92" s="15" t="s">
        <v>59</v>
      </c>
      <c r="G92" s="13" t="s">
        <v>33</v>
      </c>
      <c r="H92" s="13">
        <v>2</v>
      </c>
      <c r="I92" s="13">
        <f>LN(B92)</f>
        <v>4.9665267713712922</v>
      </c>
      <c r="J92" s="13">
        <v>0.24083189157584584</v>
      </c>
      <c r="K92" s="13" t="s">
        <v>31</v>
      </c>
      <c r="L92" s="13" t="s">
        <v>31</v>
      </c>
      <c r="M92" s="13" t="s">
        <v>31</v>
      </c>
    </row>
    <row r="93" spans="1:13" ht="15.6">
      <c r="A93" s="7" t="s">
        <v>101</v>
      </c>
      <c r="B93" s="13">
        <v>108.3020134228188</v>
      </c>
      <c r="C93" s="13" t="s">
        <v>37</v>
      </c>
      <c r="D93" s="8" t="s">
        <v>40</v>
      </c>
      <c r="E93" s="13" t="s">
        <v>29</v>
      </c>
      <c r="F93" s="15" t="s">
        <v>59</v>
      </c>
      <c r="G93" s="13" t="s">
        <v>33</v>
      </c>
      <c r="H93" s="13">
        <v>2</v>
      </c>
      <c r="I93" s="13">
        <f>LN(B93)</f>
        <v>4.6849237449958929</v>
      </c>
      <c r="J93" s="13">
        <v>0.24083189157584584</v>
      </c>
      <c r="K93" s="13" t="s">
        <v>31</v>
      </c>
      <c r="L93" s="13" t="s">
        <v>31</v>
      </c>
      <c r="M93" s="13" t="s">
        <v>31</v>
      </c>
    </row>
    <row r="94" spans="1:13" ht="15.6">
      <c r="A94" s="1" t="s">
        <v>5</v>
      </c>
      <c r="B94" s="2" t="s">
        <v>66</v>
      </c>
      <c r="C94" s="3"/>
      <c r="D94" s="11"/>
      <c r="E94" s="11"/>
      <c r="F94" s="11"/>
      <c r="G94" s="11"/>
      <c r="H94" s="11"/>
      <c r="I94" s="11"/>
      <c r="J94" s="11"/>
      <c r="K94" s="11"/>
      <c r="L94" s="11"/>
      <c r="M94" s="11"/>
    </row>
    <row r="95" spans="1:13">
      <c r="A95" s="12" t="s">
        <v>7</v>
      </c>
      <c r="B95" s="13" t="s">
        <v>49</v>
      </c>
      <c r="C95" s="4"/>
      <c r="D95" s="13"/>
      <c r="E95" s="13"/>
      <c r="F95" s="13"/>
      <c r="G95" s="13"/>
      <c r="H95" s="13"/>
      <c r="I95" s="13"/>
      <c r="J95" s="13"/>
      <c r="K95" s="13"/>
      <c r="L95" s="13"/>
      <c r="M95" s="13"/>
    </row>
    <row r="96" spans="1:13">
      <c r="A96" s="12" t="s">
        <v>9</v>
      </c>
      <c r="B96" s="13" t="s">
        <v>104</v>
      </c>
      <c r="C96" s="13"/>
      <c r="D96" s="13"/>
      <c r="E96" s="13"/>
      <c r="F96" s="13"/>
      <c r="G96" s="13"/>
      <c r="H96" s="13"/>
      <c r="I96" s="13"/>
      <c r="J96" s="13"/>
      <c r="K96" s="13"/>
      <c r="L96" s="13"/>
      <c r="M96" s="13"/>
    </row>
    <row r="97" spans="1:13" ht="43.5">
      <c r="A97" s="12" t="s">
        <v>11</v>
      </c>
      <c r="B97" s="14" t="s">
        <v>105</v>
      </c>
      <c r="C97" s="13"/>
      <c r="D97" s="13"/>
      <c r="E97" s="13"/>
      <c r="F97" s="13"/>
      <c r="G97" s="13"/>
      <c r="H97" s="13"/>
      <c r="I97" s="13"/>
      <c r="J97" s="13"/>
      <c r="K97" s="13"/>
      <c r="L97" s="13"/>
      <c r="M97" s="13"/>
    </row>
    <row r="98" spans="1:13">
      <c r="A98" s="12" t="s">
        <v>13</v>
      </c>
      <c r="B98" s="13" t="s">
        <v>14</v>
      </c>
      <c r="C98" s="13"/>
      <c r="D98" s="13"/>
      <c r="E98" s="13"/>
      <c r="F98" s="13"/>
      <c r="G98" s="13"/>
      <c r="H98" s="13"/>
      <c r="I98" s="13"/>
      <c r="J98" s="13"/>
      <c r="K98" s="13"/>
      <c r="L98" s="13"/>
      <c r="M98" s="13"/>
    </row>
    <row r="99" spans="1:13">
      <c r="A99" s="12" t="s">
        <v>15</v>
      </c>
      <c r="B99" s="13">
        <v>1</v>
      </c>
      <c r="C99" s="13"/>
      <c r="D99" s="13"/>
      <c r="E99" s="13"/>
      <c r="F99" s="13"/>
      <c r="G99" s="13"/>
      <c r="H99" s="13"/>
      <c r="I99" s="13"/>
      <c r="J99" s="13"/>
      <c r="K99" s="13"/>
      <c r="L99" s="13"/>
      <c r="M99" s="13"/>
    </row>
    <row r="100" spans="1:13">
      <c r="A100" s="12" t="s">
        <v>16</v>
      </c>
      <c r="B100" s="13" t="s">
        <v>17</v>
      </c>
      <c r="C100" s="13"/>
      <c r="D100" s="13"/>
      <c r="E100" s="13"/>
      <c r="F100" s="13"/>
      <c r="G100" s="13"/>
      <c r="H100" s="13"/>
      <c r="I100" s="13"/>
      <c r="J100" s="13"/>
      <c r="K100" s="13"/>
      <c r="L100" s="13"/>
      <c r="M100" s="13"/>
    </row>
    <row r="101" spans="1:13">
      <c r="A101" s="12" t="s">
        <v>18</v>
      </c>
      <c r="B101" s="13" t="s">
        <v>18</v>
      </c>
      <c r="C101" s="13"/>
      <c r="D101" s="13"/>
      <c r="E101" s="13"/>
      <c r="F101" s="13"/>
      <c r="G101" s="13"/>
      <c r="H101" s="13"/>
      <c r="I101" s="13"/>
      <c r="J101" s="13"/>
      <c r="K101" s="13"/>
      <c r="L101" s="13"/>
      <c r="M101" s="13"/>
    </row>
    <row r="102" spans="1:13" ht="15.6">
      <c r="A102" s="5" t="s">
        <v>19</v>
      </c>
      <c r="B102" s="13"/>
      <c r="C102" s="13"/>
      <c r="D102" s="13"/>
      <c r="E102" s="13"/>
      <c r="F102" s="13"/>
      <c r="G102" s="13"/>
      <c r="H102" s="13"/>
      <c r="I102" s="13"/>
      <c r="J102" s="13"/>
      <c r="K102" s="13"/>
      <c r="L102" s="13"/>
      <c r="M102" s="13"/>
    </row>
    <row r="103" spans="1:13" ht="15.6">
      <c r="A103" s="5" t="s">
        <v>20</v>
      </c>
      <c r="B103" s="6" t="s">
        <v>21</v>
      </c>
      <c r="C103" s="6" t="s">
        <v>18</v>
      </c>
      <c r="D103" s="6" t="s">
        <v>22</v>
      </c>
      <c r="E103" s="6" t="s">
        <v>7</v>
      </c>
      <c r="F103" s="6" t="s">
        <v>13</v>
      </c>
      <c r="G103" s="6" t="s">
        <v>16</v>
      </c>
      <c r="H103" s="6" t="s">
        <v>23</v>
      </c>
      <c r="I103" s="6" t="s">
        <v>24</v>
      </c>
      <c r="J103" s="6" t="s">
        <v>25</v>
      </c>
      <c r="K103" s="6" t="s">
        <v>26</v>
      </c>
      <c r="L103" s="6" t="s">
        <v>27</v>
      </c>
      <c r="M103" s="6" t="s">
        <v>28</v>
      </c>
    </row>
    <row r="104" spans="1:13" ht="15.6">
      <c r="A104" s="7" t="s">
        <v>66</v>
      </c>
      <c r="B104" s="13">
        <v>1</v>
      </c>
      <c r="C104" s="13" t="s">
        <v>18</v>
      </c>
      <c r="D104" s="8" t="s">
        <v>2</v>
      </c>
      <c r="E104" s="13" t="s">
        <v>29</v>
      </c>
      <c r="F104" s="15" t="s">
        <v>14</v>
      </c>
      <c r="G104" s="13" t="s">
        <v>30</v>
      </c>
      <c r="H104" s="13">
        <v>1</v>
      </c>
      <c r="I104" s="13">
        <v>1</v>
      </c>
      <c r="J104" s="13" t="s">
        <v>31</v>
      </c>
      <c r="K104" s="13" t="s">
        <v>31</v>
      </c>
      <c r="L104" s="13" t="s">
        <v>31</v>
      </c>
      <c r="M104" s="13" t="s">
        <v>31</v>
      </c>
    </row>
    <row r="105" spans="1:13" ht="15.6">
      <c r="A105" s="7" t="s">
        <v>85</v>
      </c>
      <c r="B105" s="13">
        <v>201.24574351479723</v>
      </c>
      <c r="C105" s="13" t="s">
        <v>37</v>
      </c>
      <c r="D105" s="8" t="s">
        <v>40</v>
      </c>
      <c r="E105" s="13" t="s">
        <v>29</v>
      </c>
      <c r="F105" s="15" t="s">
        <v>59</v>
      </c>
      <c r="G105" s="13" t="s">
        <v>33</v>
      </c>
      <c r="H105" s="13">
        <v>2</v>
      </c>
      <c r="I105" s="13">
        <f>LN(B105)</f>
        <v>5.3045267658379709</v>
      </c>
      <c r="J105" s="13">
        <v>0.24083189157584584</v>
      </c>
      <c r="K105" s="13" t="s">
        <v>31</v>
      </c>
      <c r="L105" s="13" t="s">
        <v>31</v>
      </c>
      <c r="M105" s="13" t="s">
        <v>31</v>
      </c>
    </row>
    <row r="106" spans="1:13" ht="15.6">
      <c r="A106" s="7" t="s">
        <v>101</v>
      </c>
      <c r="B106" s="13">
        <v>89.302798684691268</v>
      </c>
      <c r="C106" s="13" t="s">
        <v>37</v>
      </c>
      <c r="D106" s="8" t="s">
        <v>40</v>
      </c>
      <c r="E106" s="13" t="s">
        <v>29</v>
      </c>
      <c r="F106" s="15" t="s">
        <v>59</v>
      </c>
      <c r="G106" s="13" t="s">
        <v>33</v>
      </c>
      <c r="H106" s="13">
        <v>2</v>
      </c>
      <c r="I106" s="13">
        <f>LN(B106)</f>
        <v>4.4920328276454597</v>
      </c>
      <c r="J106" s="13">
        <v>0.24083189157584584</v>
      </c>
      <c r="K106" s="13" t="s">
        <v>31</v>
      </c>
      <c r="L106" s="13" t="s">
        <v>31</v>
      </c>
      <c r="M106" s="13" t="s">
        <v>31</v>
      </c>
    </row>
    <row r="107" spans="1:13" ht="15.6">
      <c r="A107" s="7" t="s">
        <v>86</v>
      </c>
      <c r="B107" s="13">
        <v>21.611048593350382</v>
      </c>
      <c r="C107" s="13" t="s">
        <v>37</v>
      </c>
      <c r="D107" s="8" t="s">
        <v>40</v>
      </c>
      <c r="E107" s="13" t="s">
        <v>29</v>
      </c>
      <c r="F107" s="15" t="s">
        <v>59</v>
      </c>
      <c r="G107" s="13" t="s">
        <v>33</v>
      </c>
      <c r="H107" s="13">
        <v>2</v>
      </c>
      <c r="I107" s="13">
        <f t="shared" ref="I107:I109" si="5">LN(B107)</f>
        <v>3.0732046928654158</v>
      </c>
      <c r="J107" s="13">
        <v>0.24083189157584584</v>
      </c>
      <c r="K107" s="13" t="s">
        <v>31</v>
      </c>
      <c r="L107" s="13" t="s">
        <v>31</v>
      </c>
      <c r="M107" s="13" t="s">
        <v>31</v>
      </c>
    </row>
    <row r="108" spans="1:13" ht="15.6">
      <c r="A108" s="7" t="s">
        <v>88</v>
      </c>
      <c r="B108" s="13">
        <v>142.93021556448667</v>
      </c>
      <c r="C108" s="13" t="s">
        <v>37</v>
      </c>
      <c r="D108" s="8" t="s">
        <v>40</v>
      </c>
      <c r="E108" s="13" t="s">
        <v>29</v>
      </c>
      <c r="F108" s="15" t="s">
        <v>59</v>
      </c>
      <c r="G108" s="13" t="s">
        <v>33</v>
      </c>
      <c r="H108" s="13">
        <v>2</v>
      </c>
      <c r="I108" s="13">
        <f t="shared" si="5"/>
        <v>4.9623565081021201</v>
      </c>
      <c r="J108" s="13">
        <v>0.24083189157584584</v>
      </c>
      <c r="K108" s="13" t="s">
        <v>31</v>
      </c>
      <c r="L108" s="13" t="s">
        <v>31</v>
      </c>
      <c r="M108" s="13" t="s">
        <v>31</v>
      </c>
    </row>
    <row r="109" spans="1:13" ht="15.6">
      <c r="A109" s="7" t="s">
        <v>97</v>
      </c>
      <c r="B109" s="13">
        <v>2674.5101936426745</v>
      </c>
      <c r="C109" s="13" t="s">
        <v>37</v>
      </c>
      <c r="D109" s="8" t="s">
        <v>40</v>
      </c>
      <c r="E109" s="13" t="s">
        <v>29</v>
      </c>
      <c r="F109" s="15" t="s">
        <v>59</v>
      </c>
      <c r="G109" s="13" t="s">
        <v>33</v>
      </c>
      <c r="H109" s="13">
        <v>2</v>
      </c>
      <c r="I109" s="13">
        <f t="shared" si="5"/>
        <v>7.8915215373839978</v>
      </c>
      <c r="J109" s="13">
        <v>0.24083189157584584</v>
      </c>
      <c r="K109" s="13" t="s">
        <v>31</v>
      </c>
      <c r="L109" s="13" t="s">
        <v>31</v>
      </c>
      <c r="M109" s="13" t="s">
        <v>31</v>
      </c>
    </row>
    <row r="110" spans="1:13" ht="15.6">
      <c r="A110" s="1" t="s">
        <v>5</v>
      </c>
      <c r="B110" s="2" t="s">
        <v>67</v>
      </c>
      <c r="C110" s="3"/>
      <c r="D110" s="11"/>
      <c r="E110" s="11"/>
      <c r="F110" s="11"/>
      <c r="G110" s="11"/>
      <c r="H110" s="11"/>
      <c r="I110" s="11"/>
      <c r="J110" s="11"/>
      <c r="K110" s="11"/>
      <c r="L110" s="11"/>
      <c r="M110" s="11"/>
    </row>
    <row r="111" spans="1:13">
      <c r="A111" s="12" t="s">
        <v>7</v>
      </c>
      <c r="B111" s="13" t="s">
        <v>49</v>
      </c>
      <c r="C111" s="4"/>
      <c r="D111" s="13"/>
      <c r="E111" s="13"/>
      <c r="F111" s="13"/>
      <c r="G111" s="13"/>
      <c r="H111" s="13"/>
      <c r="I111" s="13"/>
      <c r="J111" s="13"/>
      <c r="K111" s="13"/>
      <c r="L111" s="13"/>
      <c r="M111" s="13"/>
    </row>
    <row r="112" spans="1:13">
      <c r="A112" s="12" t="s">
        <v>9</v>
      </c>
      <c r="B112" s="13" t="s">
        <v>106</v>
      </c>
      <c r="C112" s="13"/>
      <c r="D112" s="13"/>
      <c r="E112" s="13"/>
      <c r="F112" s="13"/>
      <c r="G112" s="13"/>
      <c r="H112" s="13"/>
      <c r="I112" s="13"/>
      <c r="J112" s="13"/>
      <c r="K112" s="13"/>
      <c r="L112" s="13"/>
      <c r="M112" s="13"/>
    </row>
    <row r="113" spans="1:13" ht="29.1">
      <c r="A113" s="12" t="s">
        <v>11</v>
      </c>
      <c r="B113" s="14" t="s">
        <v>107</v>
      </c>
      <c r="C113" s="13"/>
      <c r="D113" s="13"/>
      <c r="E113" s="13"/>
      <c r="F113" s="13"/>
      <c r="G113" s="13"/>
      <c r="H113" s="13"/>
      <c r="I113" s="13"/>
      <c r="J113" s="13"/>
      <c r="K113" s="13"/>
      <c r="L113" s="13"/>
      <c r="M113" s="13"/>
    </row>
    <row r="114" spans="1:13">
      <c r="A114" s="12" t="s">
        <v>13</v>
      </c>
      <c r="B114" s="13" t="s">
        <v>14</v>
      </c>
      <c r="C114" s="13"/>
      <c r="D114" s="13"/>
      <c r="E114" s="13"/>
      <c r="F114" s="13"/>
      <c r="G114" s="13"/>
      <c r="H114" s="13"/>
      <c r="I114" s="13"/>
      <c r="J114" s="13"/>
      <c r="K114" s="13"/>
      <c r="L114" s="13"/>
      <c r="M114" s="13"/>
    </row>
    <row r="115" spans="1:13">
      <c r="A115" s="12" t="s">
        <v>15</v>
      </c>
      <c r="B115" s="13">
        <v>1</v>
      </c>
      <c r="C115" s="13"/>
      <c r="D115" s="13"/>
      <c r="E115" s="13"/>
      <c r="F115" s="13"/>
      <c r="G115" s="13"/>
      <c r="H115" s="13"/>
      <c r="I115" s="13"/>
      <c r="J115" s="13"/>
      <c r="K115" s="13"/>
      <c r="L115" s="13"/>
      <c r="M115" s="13"/>
    </row>
    <row r="116" spans="1:13">
      <c r="A116" s="12" t="s">
        <v>16</v>
      </c>
      <c r="B116" s="13" t="s">
        <v>17</v>
      </c>
      <c r="C116" s="13"/>
      <c r="D116" s="13"/>
      <c r="E116" s="13"/>
      <c r="F116" s="13"/>
      <c r="G116" s="13"/>
      <c r="H116" s="13"/>
      <c r="I116" s="13"/>
      <c r="J116" s="13"/>
      <c r="K116" s="13"/>
      <c r="L116" s="13"/>
      <c r="M116" s="13"/>
    </row>
    <row r="117" spans="1:13">
      <c r="A117" s="12" t="s">
        <v>18</v>
      </c>
      <c r="B117" s="13" t="s">
        <v>18</v>
      </c>
      <c r="C117" s="13"/>
      <c r="D117" s="13"/>
      <c r="E117" s="13"/>
      <c r="F117" s="13"/>
      <c r="G117" s="13"/>
      <c r="H117" s="13"/>
      <c r="I117" s="13"/>
      <c r="J117" s="13"/>
      <c r="K117" s="13"/>
      <c r="L117" s="13"/>
      <c r="M117" s="13"/>
    </row>
    <row r="118" spans="1:13" ht="15.6">
      <c r="A118" s="5" t="s">
        <v>19</v>
      </c>
      <c r="B118" s="13"/>
      <c r="C118" s="13"/>
      <c r="D118" s="13"/>
      <c r="E118" s="13"/>
      <c r="F118" s="13"/>
      <c r="G118" s="13"/>
      <c r="H118" s="13"/>
      <c r="I118" s="13"/>
      <c r="J118" s="13"/>
      <c r="K118" s="13"/>
      <c r="L118" s="13"/>
      <c r="M118" s="13"/>
    </row>
    <row r="119" spans="1:13" ht="15.6">
      <c r="A119" s="5" t="s">
        <v>20</v>
      </c>
      <c r="B119" s="6" t="s">
        <v>21</v>
      </c>
      <c r="C119" s="6" t="s">
        <v>18</v>
      </c>
      <c r="D119" s="6" t="s">
        <v>22</v>
      </c>
      <c r="E119" s="6" t="s">
        <v>7</v>
      </c>
      <c r="F119" s="6" t="s">
        <v>13</v>
      </c>
      <c r="G119" s="6" t="s">
        <v>16</v>
      </c>
      <c r="H119" s="6" t="s">
        <v>23</v>
      </c>
      <c r="I119" s="6" t="s">
        <v>24</v>
      </c>
      <c r="J119" s="6" t="s">
        <v>25</v>
      </c>
      <c r="K119" s="6" t="s">
        <v>26</v>
      </c>
      <c r="L119" s="6" t="s">
        <v>27</v>
      </c>
      <c r="M119" s="6" t="s">
        <v>28</v>
      </c>
    </row>
    <row r="120" spans="1:13" ht="15.6">
      <c r="A120" s="7" t="s">
        <v>67</v>
      </c>
      <c r="B120" s="13">
        <v>1</v>
      </c>
      <c r="C120" s="13" t="s">
        <v>18</v>
      </c>
      <c r="D120" s="8" t="s">
        <v>2</v>
      </c>
      <c r="E120" s="13" t="s">
        <v>29</v>
      </c>
      <c r="F120" s="15" t="s">
        <v>14</v>
      </c>
      <c r="G120" s="13" t="s">
        <v>30</v>
      </c>
      <c r="H120" s="13">
        <v>1</v>
      </c>
      <c r="I120" s="13">
        <v>1</v>
      </c>
      <c r="J120" s="13" t="s">
        <v>31</v>
      </c>
      <c r="K120" s="13" t="s">
        <v>31</v>
      </c>
      <c r="L120" s="13" t="s">
        <v>31</v>
      </c>
      <c r="M120" s="13" t="s">
        <v>31</v>
      </c>
    </row>
    <row r="121" spans="1:13" ht="15.6">
      <c r="A121" s="7" t="s">
        <v>85</v>
      </c>
      <c r="B121" s="13">
        <v>45.982976819845469</v>
      </c>
      <c r="C121" s="13" t="s">
        <v>37</v>
      </c>
      <c r="D121" s="8" t="s">
        <v>40</v>
      </c>
      <c r="E121" s="13" t="s">
        <v>29</v>
      </c>
      <c r="F121" s="15" t="s">
        <v>59</v>
      </c>
      <c r="G121" s="13" t="s">
        <v>33</v>
      </c>
      <c r="H121" s="13">
        <v>2</v>
      </c>
      <c r="I121" s="13">
        <f>LN(B121)</f>
        <v>3.8282712588628205</v>
      </c>
      <c r="J121" s="13">
        <v>0.24083189157584584</v>
      </c>
      <c r="K121" s="13" t="s">
        <v>31</v>
      </c>
      <c r="L121" s="13" t="s">
        <v>31</v>
      </c>
      <c r="M121" s="13" t="s">
        <v>31</v>
      </c>
    </row>
    <row r="122" spans="1:13" ht="15.6">
      <c r="A122" s="7" t="s">
        <v>86</v>
      </c>
      <c r="B122" s="13">
        <v>841.08296868645789</v>
      </c>
      <c r="C122" s="13" t="s">
        <v>37</v>
      </c>
      <c r="D122" s="8" t="s">
        <v>40</v>
      </c>
      <c r="E122" s="13" t="s">
        <v>29</v>
      </c>
      <c r="F122" s="15" t="s">
        <v>59</v>
      </c>
      <c r="G122" s="13" t="s">
        <v>33</v>
      </c>
      <c r="H122" s="13">
        <v>2</v>
      </c>
      <c r="I122" s="13">
        <f>LN(B122)</f>
        <v>6.734690309906477</v>
      </c>
      <c r="J122" s="13">
        <v>0.24083189157584584</v>
      </c>
      <c r="K122" s="13" t="s">
        <v>31</v>
      </c>
      <c r="L122" s="13" t="s">
        <v>31</v>
      </c>
      <c r="M122" s="13" t="s">
        <v>31</v>
      </c>
    </row>
    <row r="123" spans="1:13" ht="15.6">
      <c r="A123" s="7" t="s">
        <v>97</v>
      </c>
      <c r="B123" s="13">
        <v>7.6510776738511588</v>
      </c>
      <c r="C123" s="13" t="s">
        <v>37</v>
      </c>
      <c r="D123" s="8" t="s">
        <v>40</v>
      </c>
      <c r="E123" s="13" t="s">
        <v>29</v>
      </c>
      <c r="F123" s="15" t="s">
        <v>59</v>
      </c>
      <c r="G123" s="13" t="s">
        <v>33</v>
      </c>
      <c r="H123" s="13">
        <v>2</v>
      </c>
      <c r="I123" s="13">
        <f t="shared" ref="I123:I124" si="6">LN(B123)</f>
        <v>2.0348465103157043</v>
      </c>
      <c r="J123" s="13">
        <v>0.24083189157584584</v>
      </c>
      <c r="K123" s="13" t="s">
        <v>31</v>
      </c>
      <c r="L123" s="13" t="s">
        <v>31</v>
      </c>
      <c r="M123" s="13" t="s">
        <v>31</v>
      </c>
    </row>
    <row r="124" spans="1:13" ht="15.6">
      <c r="A124" s="7" t="s">
        <v>88</v>
      </c>
      <c r="B124" s="13">
        <v>45.982976819845469</v>
      </c>
      <c r="C124" s="13" t="s">
        <v>37</v>
      </c>
      <c r="D124" s="8" t="s">
        <v>40</v>
      </c>
      <c r="E124" s="13" t="s">
        <v>29</v>
      </c>
      <c r="F124" s="15" t="s">
        <v>59</v>
      </c>
      <c r="G124" s="13" t="s">
        <v>33</v>
      </c>
      <c r="H124" s="13">
        <v>2</v>
      </c>
      <c r="I124" s="13">
        <f t="shared" si="6"/>
        <v>3.8282712588628205</v>
      </c>
      <c r="J124" s="13">
        <v>0.24083189157584584</v>
      </c>
      <c r="K124" s="13" t="s">
        <v>31</v>
      </c>
      <c r="L124" s="13" t="s">
        <v>31</v>
      </c>
      <c r="M124" s="13" t="s">
        <v>31</v>
      </c>
    </row>
    <row r="125" spans="1:13" ht="15.6">
      <c r="A125" s="1" t="s">
        <v>5</v>
      </c>
      <c r="B125" s="2" t="s">
        <v>68</v>
      </c>
      <c r="C125" s="3"/>
      <c r="D125" s="11"/>
      <c r="E125" s="11"/>
      <c r="F125" s="11"/>
      <c r="G125" s="11"/>
      <c r="H125" s="11"/>
      <c r="I125" s="11"/>
      <c r="J125" s="11"/>
      <c r="K125" s="11"/>
      <c r="L125" s="11"/>
      <c r="M125" s="11"/>
    </row>
    <row r="126" spans="1:13">
      <c r="A126" s="12" t="s">
        <v>7</v>
      </c>
      <c r="B126" s="13" t="s">
        <v>49</v>
      </c>
      <c r="C126" s="4"/>
      <c r="D126" s="13"/>
      <c r="E126" s="13"/>
      <c r="F126" s="13"/>
      <c r="G126" s="13"/>
      <c r="H126" s="13"/>
      <c r="I126" s="13"/>
      <c r="J126" s="13"/>
      <c r="K126" s="13"/>
      <c r="L126" s="13"/>
      <c r="M126" s="13"/>
    </row>
    <row r="127" spans="1:13">
      <c r="A127" s="12" t="s">
        <v>9</v>
      </c>
      <c r="B127" s="13" t="s">
        <v>108</v>
      </c>
      <c r="C127" s="13"/>
      <c r="D127" s="13"/>
      <c r="E127" s="13"/>
      <c r="F127" s="13"/>
      <c r="G127" s="13"/>
      <c r="H127" s="13"/>
      <c r="I127" s="13"/>
      <c r="J127" s="13"/>
      <c r="K127" s="13"/>
      <c r="L127" s="13"/>
      <c r="M127" s="13"/>
    </row>
    <row r="128" spans="1:13" ht="29.1">
      <c r="A128" s="12" t="s">
        <v>11</v>
      </c>
      <c r="B128" s="14" t="s">
        <v>109</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ht="15.6">
      <c r="A133" s="5" t="s">
        <v>19</v>
      </c>
      <c r="B133" s="13"/>
      <c r="C133" s="13"/>
      <c r="D133" s="13"/>
      <c r="E133" s="13"/>
      <c r="F133" s="13"/>
      <c r="G133" s="13"/>
      <c r="H133" s="13"/>
      <c r="I133" s="13"/>
      <c r="J133" s="13"/>
      <c r="K133" s="13"/>
      <c r="L133" s="13"/>
      <c r="M133" s="13"/>
    </row>
    <row r="134" spans="1:13" ht="15.6">
      <c r="A134" s="5" t="s">
        <v>20</v>
      </c>
      <c r="B134" s="6" t="s">
        <v>21</v>
      </c>
      <c r="C134" s="6" t="s">
        <v>18</v>
      </c>
      <c r="D134" s="6" t="s">
        <v>22</v>
      </c>
      <c r="E134" s="6" t="s">
        <v>7</v>
      </c>
      <c r="F134" s="6" t="s">
        <v>13</v>
      </c>
      <c r="G134" s="6" t="s">
        <v>16</v>
      </c>
      <c r="H134" s="6" t="s">
        <v>23</v>
      </c>
      <c r="I134" s="6" t="s">
        <v>24</v>
      </c>
      <c r="J134" s="6" t="s">
        <v>25</v>
      </c>
      <c r="K134" s="6" t="s">
        <v>26</v>
      </c>
      <c r="L134" s="6" t="s">
        <v>27</v>
      </c>
      <c r="M134" s="6" t="s">
        <v>28</v>
      </c>
    </row>
    <row r="135" spans="1:13" ht="15.6">
      <c r="A135" s="7" t="s">
        <v>68</v>
      </c>
      <c r="B135" s="13">
        <v>1</v>
      </c>
      <c r="C135" s="13" t="s">
        <v>18</v>
      </c>
      <c r="D135" s="8" t="s">
        <v>2</v>
      </c>
      <c r="E135" s="13" t="s">
        <v>29</v>
      </c>
      <c r="F135" s="15" t="s">
        <v>14</v>
      </c>
      <c r="G135" s="13" t="s">
        <v>30</v>
      </c>
      <c r="H135" s="13">
        <v>1</v>
      </c>
      <c r="I135" s="13">
        <v>1</v>
      </c>
      <c r="J135" s="13" t="s">
        <v>31</v>
      </c>
      <c r="K135" s="13" t="s">
        <v>31</v>
      </c>
      <c r="L135" s="13" t="s">
        <v>31</v>
      </c>
      <c r="M135" s="13" t="s">
        <v>31</v>
      </c>
    </row>
    <row r="136" spans="1:13" ht="15.6">
      <c r="A136" s="7" t="s">
        <v>85</v>
      </c>
      <c r="B136" s="13">
        <v>9.2619636963696408</v>
      </c>
      <c r="C136" s="13" t="s">
        <v>37</v>
      </c>
      <c r="D136" s="8" t="s">
        <v>40</v>
      </c>
      <c r="E136" s="13" t="s">
        <v>29</v>
      </c>
      <c r="F136" s="15" t="s">
        <v>59</v>
      </c>
      <c r="G136" s="13" t="s">
        <v>33</v>
      </c>
      <c r="H136" s="13">
        <v>2</v>
      </c>
      <c r="I136" s="13">
        <f>LN(B136)</f>
        <v>2.2259160884190106</v>
      </c>
      <c r="J136" s="13">
        <v>0.24083189157584584</v>
      </c>
      <c r="K136" s="13" t="s">
        <v>31</v>
      </c>
      <c r="L136" s="13" t="s">
        <v>31</v>
      </c>
      <c r="M136" s="13" t="s">
        <v>31</v>
      </c>
    </row>
    <row r="137" spans="1:13" ht="15.6">
      <c r="A137" s="7" t="s">
        <v>86</v>
      </c>
      <c r="B137" s="13">
        <v>171.76732673267327</v>
      </c>
      <c r="C137" s="13" t="s">
        <v>37</v>
      </c>
      <c r="D137" s="8" t="s">
        <v>40</v>
      </c>
      <c r="E137" s="13" t="s">
        <v>29</v>
      </c>
      <c r="F137" s="15" t="s">
        <v>59</v>
      </c>
      <c r="G137" s="13" t="s">
        <v>33</v>
      </c>
      <c r="H137" s="13">
        <v>2</v>
      </c>
      <c r="I137" s="13">
        <f>LN(B137)</f>
        <v>5.146140809464856</v>
      </c>
      <c r="J137" s="13">
        <v>0.24083189157584584</v>
      </c>
      <c r="K137" s="13" t="s">
        <v>31</v>
      </c>
      <c r="L137" s="13" t="s">
        <v>31</v>
      </c>
      <c r="M137" s="13" t="s">
        <v>31</v>
      </c>
    </row>
    <row r="138" spans="1:13" ht="15.6">
      <c r="A138" s="7" t="s">
        <v>97</v>
      </c>
      <c r="B138" s="13">
        <v>13.808745874587459</v>
      </c>
      <c r="C138" s="13" t="s">
        <v>37</v>
      </c>
      <c r="D138" s="8" t="s">
        <v>40</v>
      </c>
      <c r="E138" s="13" t="s">
        <v>29</v>
      </c>
      <c r="F138" s="15" t="s">
        <v>59</v>
      </c>
      <c r="G138" s="13" t="s">
        <v>33</v>
      </c>
      <c r="H138" s="13">
        <v>2</v>
      </c>
      <c r="I138" s="13">
        <f t="shared" ref="I138:I139" si="7">LN(B138)</f>
        <v>2.6253021504507923</v>
      </c>
      <c r="J138" s="13">
        <v>0.24083189157584584</v>
      </c>
      <c r="K138" s="13" t="s">
        <v>31</v>
      </c>
      <c r="L138" s="13" t="s">
        <v>31</v>
      </c>
      <c r="M138" s="13" t="s">
        <v>31</v>
      </c>
    </row>
    <row r="139" spans="1:13" ht="15.6">
      <c r="A139" s="7" t="s">
        <v>88</v>
      </c>
      <c r="B139" s="13">
        <v>9.2619636963696372</v>
      </c>
      <c r="C139" s="13" t="s">
        <v>37</v>
      </c>
      <c r="D139" s="8" t="s">
        <v>40</v>
      </c>
      <c r="E139" s="13" t="s">
        <v>29</v>
      </c>
      <c r="F139" s="15" t="s">
        <v>59</v>
      </c>
      <c r="G139" s="13" t="s">
        <v>33</v>
      </c>
      <c r="H139" s="13">
        <v>2</v>
      </c>
      <c r="I139" s="13">
        <f t="shared" si="7"/>
        <v>2.2259160884190101</v>
      </c>
      <c r="J139" s="13">
        <v>0.24083189157584584</v>
      </c>
      <c r="K139" s="13" t="s">
        <v>31</v>
      </c>
      <c r="L139" s="13" t="s">
        <v>31</v>
      </c>
      <c r="M139" s="13" t="s">
        <v>31</v>
      </c>
    </row>
  </sheetData>
  <pageMargins left="0.7" right="0.7" top="0.75" bottom="0.75" header="0.3" footer="0.3"/>
  <pageSetup paperSize="9" orientation="portrait" verticalDpi="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D4DB7-4C0D-435E-9EB7-0E4547BC8114}">
  <sheetPr>
    <tabColor theme="7"/>
  </sheetPr>
  <dimension ref="A1:AC57"/>
  <sheetViews>
    <sheetView topLeftCell="A4" zoomScale="85" zoomScaleNormal="85" workbookViewId="0">
      <selection activeCell="I13" sqref="I13:I30"/>
    </sheetView>
  </sheetViews>
  <sheetFormatPr defaultColWidth="9.140625" defaultRowHeight="12.95"/>
  <cols>
    <col min="1" max="1" width="117.5703125" style="188" customWidth="1"/>
    <col min="2" max="2" width="62" style="188" bestFit="1" customWidth="1"/>
    <col min="3" max="3" width="13.28515625" style="188" bestFit="1" customWidth="1"/>
    <col min="4" max="4" width="37.140625" style="188" bestFit="1" customWidth="1"/>
    <col min="5" max="5" width="11" style="188" bestFit="1" customWidth="1"/>
    <col min="6" max="6" width="23.85546875" style="188" bestFit="1" customWidth="1"/>
    <col min="7" max="7" width="13.42578125" style="188" bestFit="1" customWidth="1"/>
    <col min="8" max="8" width="17.7109375" style="188" bestFit="1" customWidth="1"/>
    <col min="9" max="9" width="7" style="188" bestFit="1" customWidth="1"/>
    <col min="10" max="10" width="12" style="188" bestFit="1" customWidth="1"/>
    <col min="11" max="13" width="10.85546875" style="188" bestFit="1" customWidth="1"/>
    <col min="14" max="23" width="9.140625" style="188"/>
    <col min="24" max="24" width="0" style="188" hidden="1" customWidth="1"/>
    <col min="25" max="16384" width="9.14062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06E478DD30064F43B40738D67D2CD310</v>
      </c>
    </row>
    <row r="2" spans="1:26">
      <c r="A2" s="370" t="s">
        <v>5</v>
      </c>
      <c r="B2" s="371" t="s">
        <v>766</v>
      </c>
      <c r="C2" s="372"/>
      <c r="D2" s="353"/>
      <c r="E2" s="353"/>
      <c r="F2" s="353"/>
      <c r="G2" s="353"/>
      <c r="H2" s="353"/>
      <c r="I2" s="353"/>
      <c r="J2" s="353"/>
      <c r="K2" s="353"/>
      <c r="L2" s="353"/>
      <c r="M2" s="353"/>
    </row>
    <row r="3" spans="1:26">
      <c r="A3" s="346" t="s">
        <v>7</v>
      </c>
      <c r="B3" s="188" t="s">
        <v>786</v>
      </c>
      <c r="C3" s="345"/>
    </row>
    <row r="4" spans="1:26">
      <c r="A4" s="346" t="s">
        <v>9</v>
      </c>
      <c r="B4" s="188" t="s">
        <v>1059</v>
      </c>
      <c r="C4" s="345"/>
    </row>
    <row r="5" spans="1:26" ht="26.1">
      <c r="A5" s="346" t="s">
        <v>11</v>
      </c>
      <c r="B5" s="347" t="s">
        <v>834</v>
      </c>
    </row>
    <row r="6" spans="1:26">
      <c r="A6" s="346" t="s">
        <v>13</v>
      </c>
      <c r="B6" s="188" t="s">
        <v>14</v>
      </c>
    </row>
    <row r="7" spans="1:26">
      <c r="A7" s="346" t="s">
        <v>15</v>
      </c>
      <c r="B7" s="188">
        <v>1</v>
      </c>
    </row>
    <row r="8" spans="1:26">
      <c r="A8" s="346" t="s">
        <v>16</v>
      </c>
      <c r="B8" s="188" t="s">
        <v>17</v>
      </c>
    </row>
    <row r="9" spans="1:26">
      <c r="A9" s="346" t="s">
        <v>18</v>
      </c>
      <c r="B9" s="188" t="s">
        <v>18</v>
      </c>
    </row>
    <row r="10" spans="1:26">
      <c r="A10" s="343" t="s">
        <v>19</v>
      </c>
    </row>
    <row r="11" spans="1:26">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26">
      <c r="A12" s="371" t="s">
        <v>766</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95" t="s">
        <v>794</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96" t="s">
        <v>968</v>
      </c>
      <c r="V13" s="396" t="s">
        <v>580</v>
      </c>
      <c r="W13" s="397">
        <v>78</v>
      </c>
      <c r="Y13" s="188" t="s">
        <v>241</v>
      </c>
      <c r="Z13" s="188">
        <f>0.001*W13</f>
        <v>7.8E-2</v>
      </c>
    </row>
    <row r="14" spans="1:26">
      <c r="A14" s="395" t="s">
        <v>819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96" t="s">
        <v>969</v>
      </c>
      <c r="V14" s="396" t="s">
        <v>580</v>
      </c>
      <c r="W14" s="397">
        <v>98</v>
      </c>
      <c r="Y14" s="188" t="s">
        <v>241</v>
      </c>
      <c r="Z14" s="188">
        <f>0.001*W14</f>
        <v>9.8000000000000004E-2</v>
      </c>
    </row>
    <row r="15" spans="1:26">
      <c r="A15" s="94" t="s">
        <v>835</v>
      </c>
      <c r="B15" s="188">
        <f t="shared" si="0"/>
        <v>2.23</v>
      </c>
      <c r="C15" s="188" t="s">
        <v>37</v>
      </c>
      <c r="D15" s="188" t="s">
        <v>40</v>
      </c>
      <c r="E15" s="188" t="s">
        <v>29</v>
      </c>
      <c r="F15" s="37" t="s">
        <v>59</v>
      </c>
      <c r="G15" s="188" t="s">
        <v>33</v>
      </c>
      <c r="H15" s="188">
        <v>1</v>
      </c>
      <c r="I15" s="188">
        <f t="shared" si="1"/>
        <v>2.23</v>
      </c>
      <c r="J15" s="188" t="s">
        <v>31</v>
      </c>
      <c r="K15" s="188" t="s">
        <v>31</v>
      </c>
      <c r="L15" s="188" t="s">
        <v>31</v>
      </c>
      <c r="M15" s="188" t="s">
        <v>31</v>
      </c>
      <c r="U15" s="396" t="s">
        <v>970</v>
      </c>
      <c r="V15" s="396" t="s">
        <v>241</v>
      </c>
      <c r="W15" s="397">
        <v>2.23</v>
      </c>
      <c r="Y15" s="188" t="s">
        <v>241</v>
      </c>
      <c r="Z15" s="188">
        <f>W15</f>
        <v>2.23</v>
      </c>
    </row>
    <row r="16" spans="1:26">
      <c r="A16" s="395" t="s">
        <v>1060</v>
      </c>
      <c r="B16" s="188">
        <f t="shared" si="0"/>
        <v>2.5</v>
      </c>
      <c r="C16" s="188" t="s">
        <v>37</v>
      </c>
      <c r="D16" s="188" t="s">
        <v>2</v>
      </c>
      <c r="E16" s="188" t="s">
        <v>29</v>
      </c>
      <c r="F16" s="37" t="s">
        <v>14</v>
      </c>
      <c r="G16" s="188" t="s">
        <v>33</v>
      </c>
      <c r="H16" s="188">
        <v>1</v>
      </c>
      <c r="I16" s="188">
        <f t="shared" si="1"/>
        <v>2.5</v>
      </c>
      <c r="J16" s="188" t="s">
        <v>31</v>
      </c>
      <c r="K16" s="188" t="s">
        <v>31</v>
      </c>
      <c r="L16" s="188" t="s">
        <v>31</v>
      </c>
      <c r="M16" s="188" t="s">
        <v>31</v>
      </c>
      <c r="U16" s="396" t="s">
        <v>972</v>
      </c>
      <c r="V16" s="396" t="s">
        <v>241</v>
      </c>
      <c r="W16" s="397">
        <v>2.5</v>
      </c>
      <c r="Y16" s="188" t="s">
        <v>241</v>
      </c>
      <c r="Z16" s="188">
        <f>W16</f>
        <v>2.5</v>
      </c>
    </row>
    <row r="17" spans="1:29">
      <c r="A17" s="479" t="s">
        <v>1061</v>
      </c>
      <c r="B17" s="188">
        <f t="shared" si="0"/>
        <v>4.3749999999999997E-2</v>
      </c>
      <c r="C17" s="188" t="s">
        <v>609</v>
      </c>
      <c r="D17" s="188" t="s">
        <v>2</v>
      </c>
      <c r="E17" s="188" t="s">
        <v>29</v>
      </c>
      <c r="F17" s="37" t="s">
        <v>14</v>
      </c>
      <c r="G17" s="188" t="s">
        <v>33</v>
      </c>
      <c r="H17" s="188">
        <v>1</v>
      </c>
      <c r="I17" s="188">
        <f t="shared" si="1"/>
        <v>4.3749999999999997E-2</v>
      </c>
      <c r="J17" s="188" t="s">
        <v>31</v>
      </c>
      <c r="K17" s="188" t="s">
        <v>31</v>
      </c>
      <c r="L17" s="188" t="s">
        <v>31</v>
      </c>
      <c r="M17" s="188" t="s">
        <v>31</v>
      </c>
      <c r="O17" s="188" t="s">
        <v>974</v>
      </c>
      <c r="U17" s="459" t="s">
        <v>975</v>
      </c>
      <c r="V17" s="459" t="s">
        <v>580</v>
      </c>
      <c r="W17" s="397">
        <v>245</v>
      </c>
      <c r="Y17" s="188" t="s">
        <v>610</v>
      </c>
      <c r="Z17" s="188">
        <f>W17*0.001*AB17</f>
        <v>4.3749999999999997E-2</v>
      </c>
      <c r="AB17" s="188">
        <f>'2C. Reusable'!P38</f>
        <v>0.17857142857142858</v>
      </c>
      <c r="AC17" s="188" t="s">
        <v>838</v>
      </c>
    </row>
    <row r="18" spans="1:29">
      <c r="A18" s="395" t="s">
        <v>1062</v>
      </c>
      <c r="B18" s="188">
        <f t="shared" si="0"/>
        <v>0.40500000000000003</v>
      </c>
      <c r="C18" s="188" t="s">
        <v>37</v>
      </c>
      <c r="D18" s="188" t="s">
        <v>2</v>
      </c>
      <c r="E18" s="188" t="s">
        <v>29</v>
      </c>
      <c r="F18" s="37" t="s">
        <v>14</v>
      </c>
      <c r="G18" s="188" t="s">
        <v>33</v>
      </c>
      <c r="H18" s="188">
        <v>1</v>
      </c>
      <c r="I18" s="188">
        <f t="shared" si="1"/>
        <v>0.40500000000000003</v>
      </c>
      <c r="J18" s="188" t="s">
        <v>31</v>
      </c>
      <c r="K18" s="188" t="s">
        <v>31</v>
      </c>
      <c r="L18" s="188" t="s">
        <v>31</v>
      </c>
      <c r="M18" s="188" t="s">
        <v>31</v>
      </c>
      <c r="U18" s="459" t="s">
        <v>977</v>
      </c>
      <c r="V18" s="396" t="s">
        <v>580</v>
      </c>
      <c r="W18" s="397">
        <v>405</v>
      </c>
      <c r="Y18" s="188" t="s">
        <v>241</v>
      </c>
      <c r="Z18" s="188">
        <f>0.001*W18</f>
        <v>0.40500000000000003</v>
      </c>
    </row>
    <row r="19" spans="1:29">
      <c r="A19" s="130" t="s">
        <v>840</v>
      </c>
      <c r="B19" s="188">
        <f t="shared" si="0"/>
        <v>2E-3</v>
      </c>
      <c r="C19" s="188" t="s">
        <v>37</v>
      </c>
      <c r="D19" s="188" t="s">
        <v>40</v>
      </c>
      <c r="E19" s="188" t="s">
        <v>29</v>
      </c>
      <c r="F19" s="37" t="s">
        <v>35</v>
      </c>
      <c r="G19" s="188" t="s">
        <v>33</v>
      </c>
      <c r="H19" s="188">
        <v>1</v>
      </c>
      <c r="I19" s="188">
        <f t="shared" si="1"/>
        <v>2E-3</v>
      </c>
      <c r="J19" s="188" t="s">
        <v>31</v>
      </c>
      <c r="K19" s="188" t="s">
        <v>31</v>
      </c>
      <c r="L19" s="188" t="s">
        <v>31</v>
      </c>
      <c r="M19" s="188" t="s">
        <v>31</v>
      </c>
      <c r="N19" s="346" t="s">
        <v>841</v>
      </c>
      <c r="U19" s="396" t="s">
        <v>841</v>
      </c>
      <c r="V19" s="396" t="s">
        <v>580</v>
      </c>
      <c r="W19" s="397">
        <v>2</v>
      </c>
      <c r="Y19" s="188" t="s">
        <v>241</v>
      </c>
      <c r="Z19" s="188">
        <f>0.001*W19</f>
        <v>2E-3</v>
      </c>
    </row>
    <row r="20" spans="1:29">
      <c r="A20" s="130" t="s">
        <v>179</v>
      </c>
      <c r="B20" s="188">
        <f t="shared" si="0"/>
        <v>1.3000000000000001E-2</v>
      </c>
      <c r="C20" s="188" t="s">
        <v>37</v>
      </c>
      <c r="D20" s="188" t="s">
        <v>40</v>
      </c>
      <c r="E20" s="188" t="s">
        <v>29</v>
      </c>
      <c r="F20" s="37" t="s">
        <v>35</v>
      </c>
      <c r="G20" s="188" t="s">
        <v>33</v>
      </c>
      <c r="H20" s="188">
        <v>1</v>
      </c>
      <c r="I20" s="188">
        <f t="shared" si="1"/>
        <v>1.3000000000000001E-2</v>
      </c>
      <c r="J20" s="188" t="s">
        <v>31</v>
      </c>
      <c r="K20" s="188" t="s">
        <v>31</v>
      </c>
      <c r="L20" s="188" t="s">
        <v>31</v>
      </c>
      <c r="M20" s="188" t="s">
        <v>31</v>
      </c>
      <c r="N20" s="346" t="s">
        <v>842</v>
      </c>
      <c r="U20" s="459" t="s">
        <v>842</v>
      </c>
      <c r="V20" s="396" t="s">
        <v>580</v>
      </c>
      <c r="W20" s="397">
        <v>13</v>
      </c>
      <c r="Y20" s="188" t="s">
        <v>241</v>
      </c>
      <c r="Z20" s="188">
        <f t="shared" ref="Z20:Z22" si="2">0.001*W20</f>
        <v>1.3000000000000001E-2</v>
      </c>
    </row>
    <row r="21" spans="1:29">
      <c r="A21" s="130" t="s">
        <v>840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46" t="s">
        <v>843</v>
      </c>
      <c r="U21" s="459" t="s">
        <v>843</v>
      </c>
      <c r="V21" s="396" t="s">
        <v>580</v>
      </c>
      <c r="W21" s="397">
        <v>2</v>
      </c>
      <c r="Y21" s="188" t="s">
        <v>241</v>
      </c>
      <c r="Z21" s="188">
        <f t="shared" si="2"/>
        <v>2E-3</v>
      </c>
    </row>
    <row r="22" spans="1:29">
      <c r="A22" s="130" t="s">
        <v>978</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46" t="s">
        <v>843</v>
      </c>
      <c r="U22" s="459" t="s">
        <v>843</v>
      </c>
      <c r="V22" s="396" t="s">
        <v>580</v>
      </c>
      <c r="W22" s="397">
        <v>2</v>
      </c>
      <c r="Y22" s="188" t="s">
        <v>241</v>
      </c>
      <c r="Z22" s="188">
        <f t="shared" si="2"/>
        <v>2E-3</v>
      </c>
    </row>
    <row r="23" spans="1:29">
      <c r="A23" s="94" t="s">
        <v>1063</v>
      </c>
      <c r="B23" s="188">
        <f t="shared" si="0"/>
        <v>3.42</v>
      </c>
      <c r="C23" s="188" t="s">
        <v>37</v>
      </c>
      <c r="D23" s="188" t="s">
        <v>2</v>
      </c>
      <c r="E23" s="188" t="s">
        <v>29</v>
      </c>
      <c r="F23" s="37" t="s">
        <v>14</v>
      </c>
      <c r="G23" s="188" t="s">
        <v>33</v>
      </c>
      <c r="H23" s="188">
        <v>1</v>
      </c>
      <c r="I23" s="188">
        <f t="shared" si="1"/>
        <v>3.42</v>
      </c>
      <c r="J23" s="188" t="s">
        <v>31</v>
      </c>
      <c r="K23" s="188" t="s">
        <v>31</v>
      </c>
      <c r="L23" s="188" t="s">
        <v>31</v>
      </c>
      <c r="M23" s="188" t="s">
        <v>31</v>
      </c>
      <c r="N23" s="346" t="s">
        <v>980</v>
      </c>
      <c r="U23" s="396" t="s">
        <v>980</v>
      </c>
      <c r="V23" s="396" t="s">
        <v>241</v>
      </c>
      <c r="W23" s="397">
        <v>3.42</v>
      </c>
      <c r="Y23" s="188" t="s">
        <v>241</v>
      </c>
      <c r="Z23" s="188">
        <f>W23</f>
        <v>3.42</v>
      </c>
    </row>
    <row r="24" spans="1:29">
      <c r="A24" s="395" t="s">
        <v>1064</v>
      </c>
      <c r="B24" s="358">
        <f>'2C. Machined casing'!B7</f>
        <v>6.89</v>
      </c>
      <c r="C24" s="188" t="s">
        <v>37</v>
      </c>
      <c r="D24" s="188" t="s">
        <v>2</v>
      </c>
      <c r="E24" s="188" t="s">
        <v>29</v>
      </c>
      <c r="F24" s="37" t="s">
        <v>14</v>
      </c>
      <c r="G24" s="188" t="s">
        <v>33</v>
      </c>
      <c r="H24" s="188">
        <v>1</v>
      </c>
      <c r="I24" s="188">
        <f t="shared" si="1"/>
        <v>6.89</v>
      </c>
      <c r="J24" s="188" t="s">
        <v>31</v>
      </c>
      <c r="K24" s="188" t="s">
        <v>31</v>
      </c>
      <c r="L24" s="188" t="s">
        <v>31</v>
      </c>
      <c r="M24" s="188" t="s">
        <v>31</v>
      </c>
      <c r="N24" s="346" t="s">
        <v>846</v>
      </c>
      <c r="U24" s="396" t="s">
        <v>982</v>
      </c>
      <c r="V24" s="400" t="s">
        <v>241</v>
      </c>
      <c r="W24" s="397">
        <v>7.12</v>
      </c>
      <c r="Y24" s="188" t="s">
        <v>241</v>
      </c>
      <c r="Z24" s="188">
        <f>W24</f>
        <v>7.12</v>
      </c>
    </row>
    <row r="25" spans="1:29">
      <c r="A25" s="130" t="s">
        <v>848</v>
      </c>
      <c r="B25" s="188">
        <f t="shared" si="0"/>
        <v>6.8000000000000005E-2</v>
      </c>
      <c r="C25" s="188" t="s">
        <v>37</v>
      </c>
      <c r="D25" s="188" t="s">
        <v>40</v>
      </c>
      <c r="E25" s="188" t="s">
        <v>29</v>
      </c>
      <c r="F25" s="37" t="s">
        <v>82</v>
      </c>
      <c r="G25" s="188" t="s">
        <v>33</v>
      </c>
      <c r="H25" s="188">
        <v>1</v>
      </c>
      <c r="I25" s="188">
        <f t="shared" si="1"/>
        <v>6.8000000000000005E-2</v>
      </c>
      <c r="J25" s="188" t="s">
        <v>31</v>
      </c>
      <c r="K25" s="188" t="s">
        <v>31</v>
      </c>
      <c r="L25" s="188" t="s">
        <v>31</v>
      </c>
      <c r="M25" s="188" t="s">
        <v>31</v>
      </c>
      <c r="N25" s="346" t="s">
        <v>849</v>
      </c>
      <c r="U25" s="401" t="s">
        <v>849</v>
      </c>
      <c r="V25" s="401" t="s">
        <v>580</v>
      </c>
      <c r="W25" s="402">
        <v>68</v>
      </c>
      <c r="Y25" s="188" t="s">
        <v>241</v>
      </c>
      <c r="Z25" s="188">
        <f>0.001*W25</f>
        <v>6.8000000000000005E-2</v>
      </c>
    </row>
    <row r="26" spans="1:29">
      <c r="A26" s="130" t="s">
        <v>850</v>
      </c>
      <c r="B26" s="188">
        <f t="shared" si="0"/>
        <v>1.4999999999999999E-2</v>
      </c>
      <c r="C26" s="188" t="s">
        <v>37</v>
      </c>
      <c r="D26" s="188" t="s">
        <v>40</v>
      </c>
      <c r="E26" s="188" t="s">
        <v>29</v>
      </c>
      <c r="F26" s="37" t="s">
        <v>59</v>
      </c>
      <c r="G26" s="188" t="s">
        <v>33</v>
      </c>
      <c r="H26" s="188">
        <v>1</v>
      </c>
      <c r="I26" s="188">
        <f t="shared" si="1"/>
        <v>1.4999999999999999E-2</v>
      </c>
      <c r="J26" s="188" t="s">
        <v>31</v>
      </c>
      <c r="K26" s="188" t="s">
        <v>31</v>
      </c>
      <c r="L26" s="188" t="s">
        <v>31</v>
      </c>
      <c r="M26" s="188" t="s">
        <v>31</v>
      </c>
      <c r="N26" s="188" t="s">
        <v>851</v>
      </c>
      <c r="U26" s="401" t="s">
        <v>851</v>
      </c>
      <c r="V26" s="401" t="s">
        <v>580</v>
      </c>
      <c r="W26" s="402">
        <v>15</v>
      </c>
      <c r="Y26" s="188" t="s">
        <v>241</v>
      </c>
      <c r="Z26" s="188">
        <f t="shared" ref="Z26:Z27" si="3">0.001*W26</f>
        <v>1.4999999999999999E-2</v>
      </c>
    </row>
    <row r="27" spans="1:29">
      <c r="A27" s="130" t="s">
        <v>179</v>
      </c>
      <c r="B27" s="188">
        <f t="shared" si="0"/>
        <v>1.4999999999999999E-2</v>
      </c>
      <c r="C27" s="188" t="s">
        <v>37</v>
      </c>
      <c r="D27" s="188" t="s">
        <v>40</v>
      </c>
      <c r="E27" s="188" t="s">
        <v>29</v>
      </c>
      <c r="F27" s="37" t="s">
        <v>35</v>
      </c>
      <c r="G27" s="188" t="s">
        <v>33</v>
      </c>
      <c r="H27" s="188">
        <v>1</v>
      </c>
      <c r="I27" s="188">
        <f t="shared" si="1"/>
        <v>1.4999999999999999E-2</v>
      </c>
      <c r="J27" s="188" t="s">
        <v>31</v>
      </c>
      <c r="K27" s="188" t="s">
        <v>31</v>
      </c>
      <c r="L27" s="188" t="s">
        <v>31</v>
      </c>
      <c r="M27" s="188" t="s">
        <v>31</v>
      </c>
      <c r="N27" s="188" t="s">
        <v>852</v>
      </c>
      <c r="U27" s="401" t="s">
        <v>852</v>
      </c>
      <c r="V27" s="401" t="s">
        <v>580</v>
      </c>
      <c r="W27" s="402">
        <v>15</v>
      </c>
      <c r="Y27" s="188" t="s">
        <v>241</v>
      </c>
      <c r="Z27" s="188">
        <f t="shared" si="3"/>
        <v>1.4999999999999999E-2</v>
      </c>
    </row>
    <row r="28" spans="1:29">
      <c r="A28" s="460" t="s">
        <v>269</v>
      </c>
      <c r="B28" s="188">
        <f>0.6+1</f>
        <v>1.6</v>
      </c>
      <c r="C28" s="188" t="s">
        <v>39</v>
      </c>
      <c r="D28" s="188" t="s">
        <v>40</v>
      </c>
      <c r="E28" s="188" t="s">
        <v>29</v>
      </c>
      <c r="F28" s="188" t="s">
        <v>14</v>
      </c>
      <c r="G28" s="188" t="s">
        <v>33</v>
      </c>
      <c r="H28" s="188">
        <v>1</v>
      </c>
      <c r="I28" s="188">
        <f t="shared" si="1"/>
        <v>1.6</v>
      </c>
      <c r="J28" s="188" t="s">
        <v>31</v>
      </c>
      <c r="K28" s="188" t="s">
        <v>31</v>
      </c>
      <c r="L28" s="188" t="s">
        <v>31</v>
      </c>
      <c r="M28" s="188" t="s">
        <v>31</v>
      </c>
      <c r="N28" s="188" t="s">
        <v>983</v>
      </c>
      <c r="U28" s="396"/>
      <c r="V28" s="400"/>
      <c r="W28" s="397"/>
    </row>
    <row r="29" spans="1:29">
      <c r="A29" s="460" t="s">
        <v>269</v>
      </c>
      <c r="B29" s="188">
        <v>3.9</v>
      </c>
      <c r="C29" s="188" t="s">
        <v>39</v>
      </c>
      <c r="D29" s="188" t="s">
        <v>40</v>
      </c>
      <c r="E29" s="188" t="s">
        <v>29</v>
      </c>
      <c r="F29" s="188" t="s">
        <v>14</v>
      </c>
      <c r="G29" s="188" t="s">
        <v>33</v>
      </c>
      <c r="H29" s="188">
        <v>1</v>
      </c>
      <c r="I29" s="188">
        <f t="shared" si="1"/>
        <v>3.9</v>
      </c>
      <c r="J29" s="188" t="s">
        <v>31</v>
      </c>
      <c r="K29" s="188" t="s">
        <v>31</v>
      </c>
      <c r="L29" s="188" t="s">
        <v>31</v>
      </c>
      <c r="M29" s="188" t="s">
        <v>31</v>
      </c>
      <c r="N29" s="188" t="s">
        <v>854</v>
      </c>
      <c r="W29" s="397"/>
    </row>
    <row r="30" spans="1:29">
      <c r="A30" s="460" t="s">
        <v>269</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855</v>
      </c>
    </row>
    <row r="31" spans="1:29">
      <c r="A31" s="370"/>
      <c r="B31" s="371"/>
      <c r="C31" s="372"/>
      <c r="D31" s="353"/>
      <c r="E31" s="353"/>
      <c r="F31" s="353"/>
      <c r="G31" s="353"/>
      <c r="H31" s="353"/>
      <c r="I31" s="353"/>
      <c r="J31" s="353"/>
      <c r="K31" s="353"/>
      <c r="L31" s="353"/>
      <c r="M31" s="353"/>
      <c r="N31" s="188" t="s">
        <v>1065</v>
      </c>
    </row>
    <row r="32" spans="1:29">
      <c r="A32" s="346"/>
      <c r="C32" s="345"/>
      <c r="N32" s="188" t="s">
        <v>1066</v>
      </c>
      <c r="O32" s="408">
        <f>SUM(B13:B27)-B17+0.405</f>
        <v>16.143000000000001</v>
      </c>
    </row>
    <row r="33" spans="1:14">
      <c r="A33" s="346"/>
      <c r="C33" s="345"/>
    </row>
    <row r="34" spans="1:14">
      <c r="A34" s="346"/>
      <c r="B34" s="347"/>
    </row>
    <row r="36" spans="1:14">
      <c r="A36" s="346"/>
    </row>
    <row r="38" spans="1:14">
      <c r="A38" s="192"/>
      <c r="B38" s="420"/>
      <c r="F38" s="37"/>
    </row>
    <row r="39" spans="1:14">
      <c r="A39" s="343"/>
    </row>
    <row r="40" spans="1:14">
      <c r="A40" s="343"/>
      <c r="B40" s="344"/>
      <c r="C40" s="344"/>
      <c r="D40" s="344"/>
      <c r="E40" s="344"/>
      <c r="F40" s="344"/>
      <c r="G40" s="344"/>
      <c r="H40" s="344"/>
      <c r="I40" s="344"/>
      <c r="J40" s="344"/>
      <c r="K40" s="344"/>
      <c r="L40" s="344"/>
      <c r="M40" s="344"/>
      <c r="N40" s="344"/>
    </row>
    <row r="41" spans="1:14">
      <c r="A41" s="346"/>
      <c r="F41" s="37"/>
    </row>
    <row r="42" spans="1:14">
      <c r="A42" s="346"/>
      <c r="F42" s="37"/>
    </row>
    <row r="43" spans="1:14">
      <c r="A43" s="346"/>
      <c r="F43" s="37"/>
    </row>
    <row r="44" spans="1:14">
      <c r="A44" s="346"/>
      <c r="F44" s="37"/>
    </row>
    <row r="45" spans="1:14">
      <c r="A45" s="346"/>
      <c r="F45" s="37"/>
    </row>
    <row r="46" spans="1:14">
      <c r="A46" s="346"/>
      <c r="F46" s="37"/>
    </row>
    <row r="47" spans="1:14">
      <c r="A47" s="346"/>
      <c r="F47" s="37"/>
    </row>
    <row r="48" spans="1:14">
      <c r="A48" s="346"/>
      <c r="F48" s="37"/>
    </row>
    <row r="49" spans="1:6">
      <c r="A49" s="346"/>
      <c r="F49" s="37"/>
    </row>
    <row r="50" spans="1:6">
      <c r="A50" s="346"/>
      <c r="F50" s="37"/>
    </row>
    <row r="51" spans="1:6">
      <c r="A51" s="346"/>
      <c r="F51" s="37"/>
    </row>
    <row r="52" spans="1:6">
      <c r="A52" s="346"/>
      <c r="F52" s="37"/>
    </row>
    <row r="53" spans="1:6">
      <c r="A53" s="346"/>
      <c r="F53" s="37"/>
    </row>
    <row r="54" spans="1:6">
      <c r="A54" s="346"/>
      <c r="F54" s="37"/>
    </row>
    <row r="55" spans="1:6">
      <c r="F55" s="37"/>
    </row>
    <row r="57" spans="1:6">
      <c r="A57" s="346"/>
    </row>
  </sheetData>
  <pageMargins left="0.7" right="0.7" top="0.75" bottom="0.75" header="0.3" footer="0.3"/>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26C5D-0B17-4AD6-8DA1-01C25FCD1742}">
  <sheetPr>
    <tabColor theme="7"/>
  </sheetPr>
  <dimension ref="A1:U104"/>
  <sheetViews>
    <sheetView zoomScaleNormal="100" workbookViewId="0">
      <selection activeCell="A12" sqref="A12"/>
    </sheetView>
  </sheetViews>
  <sheetFormatPr defaultRowHeight="14.45"/>
  <cols>
    <col min="1" max="1" width="52.42578125" style="22" customWidth="1"/>
    <col min="2" max="2" width="17.5703125" customWidth="1"/>
    <col min="3" max="3" width="13.7109375" customWidth="1"/>
    <col min="4" max="4" width="39.85546875" customWidth="1"/>
    <col min="7" max="7" width="14.85546875"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404" t="s">
        <v>5</v>
      </c>
      <c r="B2" s="106" t="s">
        <v>1061</v>
      </c>
      <c r="C2" s="372"/>
      <c r="D2" s="353"/>
      <c r="E2" s="353"/>
      <c r="F2" s="353"/>
      <c r="G2" s="353"/>
      <c r="H2" s="353"/>
      <c r="I2" s="353"/>
      <c r="J2" s="353"/>
      <c r="K2" s="353"/>
      <c r="L2" s="353"/>
      <c r="M2" s="353"/>
      <c r="N2" s="353"/>
      <c r="O2" s="353"/>
      <c r="P2" s="353"/>
      <c r="Q2" s="353"/>
      <c r="R2" s="353"/>
      <c r="S2" s="188"/>
      <c r="T2" s="188"/>
      <c r="U2" s="188"/>
    </row>
    <row r="3" spans="1:21">
      <c r="A3" s="406" t="s">
        <v>7</v>
      </c>
      <c r="B3" s="188" t="s">
        <v>786</v>
      </c>
      <c r="C3" s="345"/>
      <c r="D3" s="188"/>
      <c r="E3" s="188"/>
      <c r="F3" s="188"/>
      <c r="G3" s="188"/>
      <c r="H3" s="188"/>
      <c r="I3" s="188"/>
      <c r="J3" s="188"/>
      <c r="K3" s="188"/>
      <c r="L3" s="188"/>
      <c r="M3" s="188"/>
      <c r="N3" s="188"/>
      <c r="O3" s="188"/>
      <c r="P3" s="188"/>
      <c r="Q3" s="188"/>
      <c r="R3" s="188"/>
      <c r="S3" s="188"/>
      <c r="T3" s="188"/>
      <c r="U3" s="188"/>
    </row>
    <row r="4" spans="1:21">
      <c r="A4" s="406" t="s">
        <v>9</v>
      </c>
      <c r="B4" s="188" t="s">
        <v>1067</v>
      </c>
      <c r="C4" s="345"/>
      <c r="D4" s="188"/>
      <c r="E4" s="188"/>
      <c r="F4" s="188"/>
      <c r="G4" s="188"/>
      <c r="H4" s="188"/>
      <c r="I4" s="188"/>
      <c r="J4" s="188"/>
      <c r="K4" s="188"/>
      <c r="L4" s="188"/>
      <c r="M4" s="188"/>
      <c r="N4" s="188"/>
      <c r="O4" s="188"/>
      <c r="P4" s="188"/>
      <c r="Q4" s="188"/>
      <c r="R4" s="188"/>
      <c r="S4" s="188"/>
      <c r="T4" s="188"/>
      <c r="U4" s="389"/>
    </row>
    <row r="5" spans="1:21" ht="12.75" customHeight="1">
      <c r="A5" s="406" t="s">
        <v>11</v>
      </c>
      <c r="B5" s="347" t="s">
        <v>796</v>
      </c>
      <c r="C5" s="188"/>
      <c r="D5" s="188"/>
      <c r="E5" s="188"/>
      <c r="F5" s="188"/>
      <c r="G5" s="188"/>
      <c r="H5" s="188"/>
      <c r="I5" s="188"/>
      <c r="J5" s="188"/>
      <c r="K5" s="188"/>
      <c r="L5" s="188"/>
      <c r="M5" s="188"/>
      <c r="N5" s="188"/>
      <c r="O5" s="188"/>
      <c r="P5" s="188"/>
      <c r="Q5" s="188"/>
      <c r="R5" s="188"/>
      <c r="S5" s="188"/>
      <c r="T5" s="188"/>
      <c r="U5" s="188"/>
    </row>
    <row r="6" spans="1:21">
      <c r="A6" s="406" t="s">
        <v>13</v>
      </c>
      <c r="B6" s="188" t="s">
        <v>14</v>
      </c>
      <c r="C6" s="188"/>
      <c r="D6" s="188"/>
      <c r="E6" s="188"/>
      <c r="F6" s="188"/>
      <c r="G6" s="188"/>
      <c r="H6" s="188"/>
      <c r="I6" s="188"/>
      <c r="J6" s="188"/>
      <c r="K6" s="188"/>
      <c r="L6" s="188"/>
      <c r="M6" s="188"/>
      <c r="N6" s="188"/>
      <c r="O6" s="188"/>
      <c r="P6" s="188"/>
      <c r="Q6" s="188"/>
      <c r="R6" s="188"/>
      <c r="S6" s="188"/>
      <c r="T6" s="188"/>
      <c r="U6" s="188"/>
    </row>
    <row r="7" spans="1:21">
      <c r="A7" s="406" t="s">
        <v>15</v>
      </c>
      <c r="B7" s="188">
        <f>B12</f>
        <v>1.2E-2</v>
      </c>
      <c r="C7" s="188"/>
      <c r="D7" s="188"/>
      <c r="E7" s="188"/>
      <c r="F7" s="188"/>
      <c r="G7" s="188"/>
      <c r="H7" s="188"/>
      <c r="I7" s="188"/>
      <c r="J7" s="188"/>
      <c r="K7" s="188"/>
      <c r="L7" s="188"/>
      <c r="M7" s="188"/>
      <c r="N7" s="188"/>
      <c r="O7" s="188"/>
      <c r="P7" s="188"/>
      <c r="Q7" s="188"/>
      <c r="R7" s="188"/>
      <c r="S7" s="188"/>
      <c r="T7" s="188"/>
      <c r="U7" s="188"/>
    </row>
    <row r="8" spans="1:21">
      <c r="A8" s="406" t="s">
        <v>16</v>
      </c>
      <c r="B8" s="188" t="s">
        <v>17</v>
      </c>
      <c r="C8" s="188"/>
      <c r="D8" s="188"/>
      <c r="E8" s="188"/>
      <c r="F8" s="188"/>
      <c r="G8" s="188"/>
      <c r="H8" s="188"/>
      <c r="I8" s="188"/>
      <c r="J8" s="188"/>
      <c r="K8" s="188"/>
      <c r="L8" s="188"/>
      <c r="M8" s="188"/>
      <c r="N8" s="188"/>
      <c r="O8" s="188"/>
      <c r="P8" s="188"/>
      <c r="Q8" s="188"/>
      <c r="R8" s="188"/>
      <c r="S8" s="188"/>
      <c r="T8" s="188"/>
      <c r="U8" s="188"/>
    </row>
    <row r="9" spans="1:21">
      <c r="A9" s="406" t="s">
        <v>18</v>
      </c>
      <c r="B9" s="188" t="s">
        <v>609</v>
      </c>
      <c r="C9" s="188"/>
      <c r="D9" s="188"/>
      <c r="E9" s="188"/>
      <c r="F9" s="188"/>
      <c r="G9" s="188"/>
      <c r="H9" s="188"/>
      <c r="I9" s="188"/>
      <c r="J9" s="188"/>
      <c r="K9" s="188"/>
      <c r="L9" s="188"/>
      <c r="M9" s="188"/>
      <c r="N9" s="188"/>
      <c r="O9" s="188"/>
      <c r="P9" s="188"/>
      <c r="Q9" s="188"/>
      <c r="R9" s="188"/>
      <c r="S9" s="188"/>
      <c r="T9" s="188"/>
      <c r="U9" s="188"/>
    </row>
    <row r="10" spans="1:21">
      <c r="A10" s="407"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407"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c r="U11" s="188"/>
    </row>
    <row r="12" spans="1:21">
      <c r="A12" s="381" t="s">
        <v>1061</v>
      </c>
      <c r="B12" s="188">
        <v>1.2E-2</v>
      </c>
      <c r="C12" s="188" t="s">
        <v>609</v>
      </c>
      <c r="D12" s="408" t="s">
        <v>2</v>
      </c>
      <c r="E12" s="188" t="s">
        <v>29</v>
      </c>
      <c r="F12" s="37" t="s">
        <v>14</v>
      </c>
      <c r="G12" s="188" t="s">
        <v>30</v>
      </c>
      <c r="H12" s="188">
        <v>1</v>
      </c>
      <c r="I12" s="188">
        <f>B12</f>
        <v>1.2E-2</v>
      </c>
      <c r="J12" s="188" t="s">
        <v>31</v>
      </c>
      <c r="K12" s="188" t="s">
        <v>31</v>
      </c>
      <c r="L12" s="188" t="s">
        <v>31</v>
      </c>
      <c r="M12" s="188" t="s">
        <v>31</v>
      </c>
      <c r="N12" s="188"/>
      <c r="O12" s="409" t="s">
        <v>861</v>
      </c>
      <c r="P12" s="410"/>
      <c r="Q12" s="188"/>
      <c r="R12" s="188"/>
      <c r="S12" s="188"/>
      <c r="T12" s="188"/>
      <c r="U12" s="188"/>
    </row>
    <row r="13" spans="1:21">
      <c r="A13" s="381" t="s">
        <v>1068</v>
      </c>
      <c r="B13" s="188">
        <f>Q13</f>
        <v>6.7199999999999996E-2</v>
      </c>
      <c r="C13" s="188" t="s">
        <v>37</v>
      </c>
      <c r="D13" s="408" t="s">
        <v>2</v>
      </c>
      <c r="E13" s="188" t="s">
        <v>29</v>
      </c>
      <c r="F13" s="37" t="s">
        <v>14</v>
      </c>
      <c r="G13" s="188" t="s">
        <v>33</v>
      </c>
      <c r="H13" s="188">
        <v>1</v>
      </c>
      <c r="I13" s="188">
        <f t="shared" ref="I13:I14" si="0">B13</f>
        <v>6.7199999999999996E-2</v>
      </c>
      <c r="J13" s="188" t="s">
        <v>31</v>
      </c>
      <c r="K13" s="188" t="s">
        <v>31</v>
      </c>
      <c r="L13" s="188" t="s">
        <v>31</v>
      </c>
      <c r="M13" s="188" t="s">
        <v>31</v>
      </c>
      <c r="N13" s="188"/>
      <c r="O13" s="188">
        <f>0.05/0.28</f>
        <v>0.17857142857142858</v>
      </c>
      <c r="P13" s="188" t="s">
        <v>838</v>
      </c>
      <c r="Q13" s="188">
        <f>B12/O13</f>
        <v>6.7199999999999996E-2</v>
      </c>
      <c r="R13" s="188"/>
      <c r="S13" s="188"/>
      <c r="T13" s="188"/>
      <c r="U13" s="188"/>
    </row>
    <row r="14" spans="1:21">
      <c r="A14" s="381" t="s">
        <v>1069</v>
      </c>
      <c r="B14" s="188">
        <v>3.5999999999999997E-2</v>
      </c>
      <c r="C14" s="188" t="s">
        <v>609</v>
      </c>
      <c r="D14" s="408" t="s">
        <v>2</v>
      </c>
      <c r="E14" s="188" t="s">
        <v>29</v>
      </c>
      <c r="F14" s="37" t="s">
        <v>14</v>
      </c>
      <c r="G14" s="188" t="s">
        <v>33</v>
      </c>
      <c r="H14" s="188">
        <v>1</v>
      </c>
      <c r="I14" s="188">
        <f t="shared" si="0"/>
        <v>3.5999999999999997E-2</v>
      </c>
      <c r="J14" s="188" t="s">
        <v>31</v>
      </c>
      <c r="K14" s="188" t="s">
        <v>31</v>
      </c>
      <c r="L14" s="188" t="s">
        <v>31</v>
      </c>
      <c r="M14" s="188" t="s">
        <v>31</v>
      </c>
      <c r="N14" s="188"/>
      <c r="O14" s="188"/>
      <c r="P14" s="188"/>
      <c r="Q14" s="188"/>
      <c r="R14" s="188"/>
      <c r="S14" s="188"/>
      <c r="T14" s="188"/>
      <c r="U14" s="188"/>
    </row>
    <row r="15" spans="1:21">
      <c r="A15" s="112" t="s">
        <v>799</v>
      </c>
      <c r="B15" s="188">
        <f>P15</f>
        <v>0.09</v>
      </c>
      <c r="C15" s="188" t="s">
        <v>37</v>
      </c>
      <c r="D15" s="188" t="s">
        <v>40</v>
      </c>
      <c r="E15" s="188" t="s">
        <v>29</v>
      </c>
      <c r="F15" s="37" t="s">
        <v>74</v>
      </c>
      <c r="G15" s="188" t="s">
        <v>33</v>
      </c>
      <c r="H15" s="188">
        <v>2</v>
      </c>
      <c r="I15" s="188">
        <f>LN(B15)</f>
        <v>-2.4079456086518722</v>
      </c>
      <c r="J15" s="464">
        <v>0.11236102527122109</v>
      </c>
      <c r="K15" s="188" t="s">
        <v>31</v>
      </c>
      <c r="L15" s="188" t="s">
        <v>31</v>
      </c>
      <c r="M15" s="188" t="s">
        <v>31</v>
      </c>
      <c r="N15" s="188"/>
      <c r="O15" s="401" t="s">
        <v>241</v>
      </c>
      <c r="P15" s="414">
        <v>0.09</v>
      </c>
      <c r="Q15" s="188"/>
      <c r="R15" s="188"/>
      <c r="S15" s="188"/>
      <c r="T15" s="188"/>
      <c r="U15" s="188"/>
    </row>
    <row r="16" spans="1:21">
      <c r="A16" s="112" t="s">
        <v>862</v>
      </c>
      <c r="B16" s="415">
        <f>Q16</f>
        <v>4.6999999999999999E-9</v>
      </c>
      <c r="C16" s="188" t="s">
        <v>37</v>
      </c>
      <c r="D16" s="188" t="s">
        <v>40</v>
      </c>
      <c r="E16" s="188" t="s">
        <v>29</v>
      </c>
      <c r="F16" s="37" t="s">
        <v>59</v>
      </c>
      <c r="G16" s="188" t="s">
        <v>33</v>
      </c>
      <c r="H16" s="188">
        <v>2</v>
      </c>
      <c r="I16" s="188">
        <f t="shared" ref="I16:I17" si="1">LN(B16)</f>
        <v>-19.175703328230398</v>
      </c>
      <c r="J16" s="464">
        <v>0.11236102527122109</v>
      </c>
      <c r="K16" s="188" t="s">
        <v>31</v>
      </c>
      <c r="L16" s="188" t="s">
        <v>31</v>
      </c>
      <c r="M16" s="188" t="s">
        <v>31</v>
      </c>
      <c r="N16" s="188"/>
      <c r="O16" s="416" t="s">
        <v>538</v>
      </c>
      <c r="P16" s="417">
        <v>4.7000000000000002E-3</v>
      </c>
      <c r="Q16" s="415">
        <f>P16*10^(-6)</f>
        <v>4.6999999999999999E-9</v>
      </c>
      <c r="R16" s="188" t="s">
        <v>37</v>
      </c>
      <c r="S16" s="188"/>
      <c r="T16" s="188"/>
      <c r="U16" s="188"/>
    </row>
    <row r="17" spans="1:21">
      <c r="A17" s="112" t="s">
        <v>76</v>
      </c>
      <c r="B17" s="188">
        <f>Q17</f>
        <v>8.9999999999999992E-5</v>
      </c>
      <c r="C17" s="188" t="s">
        <v>42</v>
      </c>
      <c r="D17" s="188" t="s">
        <v>40</v>
      </c>
      <c r="E17" s="188" t="s">
        <v>29</v>
      </c>
      <c r="F17" s="37" t="s">
        <v>74</v>
      </c>
      <c r="G17" s="188" t="s">
        <v>33</v>
      </c>
      <c r="H17" s="188">
        <v>2</v>
      </c>
      <c r="I17" s="188">
        <f t="shared" si="1"/>
        <v>-9.3157008876340086</v>
      </c>
      <c r="J17" s="464">
        <v>0.11236102527122109</v>
      </c>
      <c r="K17" s="188" t="s">
        <v>31</v>
      </c>
      <c r="L17" s="188" t="s">
        <v>31</v>
      </c>
      <c r="M17" s="188" t="s">
        <v>31</v>
      </c>
      <c r="N17" s="188"/>
      <c r="O17" s="418" t="s">
        <v>863</v>
      </c>
      <c r="P17" s="419">
        <v>0.09</v>
      </c>
      <c r="Q17" s="188">
        <f>P17/1000</f>
        <v>8.9999999999999992E-5</v>
      </c>
      <c r="R17" s="188" t="s">
        <v>864</v>
      </c>
      <c r="S17" s="188"/>
      <c r="T17" s="188"/>
      <c r="U17" s="188"/>
    </row>
    <row r="18" spans="1:21">
      <c r="A18" s="404" t="s">
        <v>5</v>
      </c>
      <c r="B18" s="106" t="s">
        <v>1068</v>
      </c>
      <c r="C18" s="372"/>
      <c r="D18" s="353"/>
      <c r="E18" s="353"/>
      <c r="F18" s="353"/>
      <c r="G18" s="353"/>
      <c r="H18" s="353"/>
      <c r="I18" s="353"/>
      <c r="J18" s="353"/>
      <c r="K18" s="353"/>
      <c r="L18" s="353"/>
      <c r="M18" s="353"/>
      <c r="N18" s="353"/>
      <c r="O18" s="353"/>
      <c r="P18" s="353"/>
      <c r="Q18" s="353"/>
      <c r="R18" s="353"/>
      <c r="S18" s="188"/>
      <c r="T18" s="188"/>
      <c r="U18" s="188"/>
    </row>
    <row r="19" spans="1:21">
      <c r="A19" s="406" t="s">
        <v>7</v>
      </c>
      <c r="B19" s="188" t="s">
        <v>786</v>
      </c>
      <c r="C19" s="345"/>
      <c r="D19" s="188"/>
      <c r="E19" s="188"/>
      <c r="F19" s="188"/>
      <c r="G19" s="188"/>
      <c r="H19" s="188"/>
      <c r="I19" s="188"/>
      <c r="J19" s="188"/>
      <c r="K19" s="188"/>
      <c r="L19" s="188"/>
      <c r="M19" s="188"/>
      <c r="N19" s="188"/>
      <c r="O19" s="188"/>
      <c r="P19" s="188"/>
      <c r="Q19" s="188"/>
      <c r="R19" s="188"/>
      <c r="S19" s="188"/>
      <c r="T19" s="188"/>
      <c r="U19" s="188"/>
    </row>
    <row r="20" spans="1:21">
      <c r="A20" s="406" t="s">
        <v>9</v>
      </c>
      <c r="B20" s="188" t="s">
        <v>1070</v>
      </c>
      <c r="C20" s="345"/>
      <c r="D20" s="188"/>
      <c r="E20" s="188"/>
      <c r="F20" s="188"/>
      <c r="G20" s="188"/>
      <c r="H20" s="188"/>
      <c r="I20" s="188"/>
      <c r="J20" s="188"/>
      <c r="K20" s="188"/>
      <c r="L20" s="188"/>
      <c r="M20" s="188"/>
      <c r="N20" s="188"/>
      <c r="O20" s="188"/>
      <c r="P20" s="188"/>
      <c r="Q20" s="188"/>
      <c r="R20" s="188"/>
      <c r="S20" s="188"/>
      <c r="T20" s="188"/>
      <c r="U20" s="188"/>
    </row>
    <row r="21" spans="1:21" ht="10.5" customHeight="1">
      <c r="A21" s="406" t="s">
        <v>11</v>
      </c>
      <c r="B21" s="347" t="s">
        <v>796</v>
      </c>
      <c r="C21" s="188"/>
      <c r="D21" s="188"/>
      <c r="E21" s="188"/>
      <c r="F21" s="188"/>
      <c r="G21" s="188"/>
      <c r="H21" s="188"/>
      <c r="I21" s="188"/>
      <c r="J21" s="188"/>
      <c r="K21" s="188"/>
      <c r="L21" s="188"/>
      <c r="M21" s="188"/>
      <c r="N21" s="188"/>
      <c r="O21" s="188"/>
      <c r="P21" s="421"/>
      <c r="Q21" s="188"/>
      <c r="R21" s="188"/>
      <c r="S21" s="188"/>
      <c r="T21" s="188"/>
      <c r="U21" s="188"/>
    </row>
    <row r="22" spans="1:21">
      <c r="A22" s="406" t="s">
        <v>13</v>
      </c>
      <c r="B22" s="188" t="s">
        <v>14</v>
      </c>
      <c r="C22" s="188"/>
      <c r="D22" s="188"/>
      <c r="E22" s="188"/>
      <c r="F22" s="188"/>
      <c r="G22" s="188"/>
      <c r="H22" s="188"/>
      <c r="I22" s="188"/>
      <c r="J22" s="188"/>
      <c r="K22" s="188"/>
      <c r="L22" s="188"/>
      <c r="M22" s="188"/>
      <c r="N22" s="188"/>
      <c r="O22" s="188"/>
      <c r="P22" s="421"/>
      <c r="Q22" s="188"/>
      <c r="R22" s="188"/>
      <c r="S22" s="188"/>
      <c r="T22" s="188"/>
      <c r="U22" s="188"/>
    </row>
    <row r="23" spans="1:21">
      <c r="A23" s="406" t="s">
        <v>15</v>
      </c>
      <c r="B23" s="188">
        <f>B28</f>
        <v>0.06</v>
      </c>
      <c r="C23" s="188"/>
      <c r="D23" s="188"/>
      <c r="E23" s="188"/>
      <c r="F23" s="188"/>
      <c r="G23" s="188"/>
      <c r="H23" s="188"/>
      <c r="I23" s="188"/>
      <c r="J23" s="188"/>
      <c r="K23" s="188"/>
      <c r="L23" s="188"/>
      <c r="M23" s="188"/>
      <c r="N23" s="188"/>
      <c r="O23" s="188"/>
      <c r="P23" s="421"/>
      <c r="Q23" s="188"/>
      <c r="R23" s="188"/>
      <c r="S23" s="188"/>
      <c r="T23" s="188"/>
      <c r="U23" s="188"/>
    </row>
    <row r="24" spans="1:21">
      <c r="A24" s="406" t="s">
        <v>16</v>
      </c>
      <c r="B24" s="188" t="s">
        <v>17</v>
      </c>
      <c r="C24" s="188"/>
      <c r="D24" s="188"/>
      <c r="E24" s="188"/>
      <c r="F24" s="188"/>
      <c r="G24" s="188"/>
      <c r="H24" s="188"/>
      <c r="I24" s="188"/>
      <c r="J24" s="188"/>
      <c r="K24" s="188"/>
      <c r="L24" s="188"/>
      <c r="M24" s="188"/>
      <c r="N24" s="188"/>
      <c r="O24" s="188"/>
      <c r="P24" s="188"/>
      <c r="Q24" s="188"/>
      <c r="R24" s="188"/>
      <c r="S24" s="188"/>
      <c r="T24" s="188"/>
      <c r="U24" s="188"/>
    </row>
    <row r="25" spans="1:21">
      <c r="A25" s="406" t="s">
        <v>18</v>
      </c>
      <c r="B25" s="188" t="s">
        <v>37</v>
      </c>
      <c r="C25" s="188"/>
      <c r="D25" s="188"/>
      <c r="E25" s="188"/>
      <c r="F25" s="188"/>
      <c r="G25" s="188"/>
      <c r="H25" s="188"/>
      <c r="I25" s="188"/>
      <c r="J25" s="188"/>
      <c r="K25" s="188"/>
      <c r="L25" s="188"/>
      <c r="M25" s="188"/>
      <c r="N25" s="188"/>
      <c r="O25" s="188"/>
      <c r="P25" s="188"/>
      <c r="Q25" s="188"/>
      <c r="R25" s="188"/>
      <c r="S25" s="188"/>
      <c r="T25" s="188"/>
      <c r="U25" s="188"/>
    </row>
    <row r="26" spans="1:21">
      <c r="A26" s="407" t="s">
        <v>19</v>
      </c>
      <c r="B26" s="188"/>
      <c r="C26" s="188"/>
      <c r="D26" s="188"/>
      <c r="E26" s="188"/>
      <c r="F26" s="188"/>
      <c r="G26" s="188"/>
      <c r="H26" s="188"/>
      <c r="I26" s="188"/>
      <c r="J26" s="188"/>
      <c r="K26" s="188"/>
      <c r="L26" s="188"/>
      <c r="M26" s="188"/>
      <c r="N26" s="188"/>
      <c r="O26" s="188"/>
      <c r="P26" s="188"/>
      <c r="Q26" s="188"/>
      <c r="R26" s="188"/>
      <c r="S26" s="188"/>
      <c r="T26" s="188"/>
      <c r="U26" s="188"/>
    </row>
    <row r="27" spans="1:21">
      <c r="A27" s="407"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c r="O27" s="188"/>
      <c r="P27" s="188"/>
      <c r="Q27" s="188"/>
      <c r="R27" s="188"/>
      <c r="S27" s="188"/>
      <c r="T27" s="188"/>
      <c r="U27" s="188"/>
    </row>
    <row r="28" spans="1:21">
      <c r="A28" s="381" t="s">
        <v>1068</v>
      </c>
      <c r="B28" s="188">
        <v>0.06</v>
      </c>
      <c r="C28" s="188" t="s">
        <v>37</v>
      </c>
      <c r="D28" s="408" t="s">
        <v>2</v>
      </c>
      <c r="E28" s="188" t="s">
        <v>29</v>
      </c>
      <c r="F28" s="37" t="s">
        <v>14</v>
      </c>
      <c r="G28" s="188" t="s">
        <v>30</v>
      </c>
      <c r="H28" s="188">
        <v>1</v>
      </c>
      <c r="I28" s="188">
        <f>B28</f>
        <v>0.06</v>
      </c>
      <c r="J28" s="188" t="s">
        <v>31</v>
      </c>
      <c r="K28" s="188" t="s">
        <v>31</v>
      </c>
      <c r="L28" s="188" t="s">
        <v>31</v>
      </c>
      <c r="M28" s="188" t="s">
        <v>31</v>
      </c>
      <c r="N28" s="188"/>
      <c r="O28" s="188"/>
      <c r="Q28" s="188"/>
      <c r="R28" s="188"/>
      <c r="S28" s="188"/>
      <c r="T28" s="188"/>
      <c r="U28" s="188"/>
    </row>
    <row r="29" spans="1:21">
      <c r="A29" s="112" t="s">
        <v>862</v>
      </c>
      <c r="B29" s="415">
        <f>R29</f>
        <v>6.6E-3</v>
      </c>
      <c r="C29" s="188" t="s">
        <v>37</v>
      </c>
      <c r="D29" s="188" t="s">
        <v>40</v>
      </c>
      <c r="E29" s="188" t="s">
        <v>29</v>
      </c>
      <c r="F29" s="37" t="s">
        <v>59</v>
      </c>
      <c r="G29" s="188" t="s">
        <v>33</v>
      </c>
      <c r="H29" s="188">
        <v>2</v>
      </c>
      <c r="I29" s="188">
        <f t="shared" ref="I29:I31" si="2">LN(B29)</f>
        <v>-5.0206856299497575</v>
      </c>
      <c r="J29" s="464">
        <v>0.11236102527122109</v>
      </c>
      <c r="K29" s="188" t="s">
        <v>31</v>
      </c>
      <c r="L29" s="188" t="s">
        <v>31</v>
      </c>
      <c r="M29" s="188" t="s">
        <v>31</v>
      </c>
      <c r="N29" s="188"/>
      <c r="O29" s="401" t="s">
        <v>580</v>
      </c>
      <c r="P29" s="414">
        <v>6.6</v>
      </c>
      <c r="Q29" s="188" t="s">
        <v>241</v>
      </c>
      <c r="R29" s="188">
        <f>P29*0.001</f>
        <v>6.6E-3</v>
      </c>
      <c r="S29" s="188"/>
      <c r="T29" s="188"/>
      <c r="U29" s="188"/>
    </row>
    <row r="30" spans="1:21">
      <c r="A30" s="406" t="s">
        <v>269</v>
      </c>
      <c r="B30" s="350">
        <f>P30</f>
        <v>0.03</v>
      </c>
      <c r="C30" s="188" t="s">
        <v>39</v>
      </c>
      <c r="D30" s="188" t="s">
        <v>40</v>
      </c>
      <c r="E30" s="188" t="s">
        <v>29</v>
      </c>
      <c r="F30" s="37" t="s">
        <v>35</v>
      </c>
      <c r="G30" s="188" t="s">
        <v>33</v>
      </c>
      <c r="H30" s="188">
        <v>2</v>
      </c>
      <c r="I30" s="188">
        <f t="shared" si="2"/>
        <v>-3.5065578973199818</v>
      </c>
      <c r="J30" s="464">
        <v>0.11236102527122109</v>
      </c>
      <c r="K30" s="188" t="s">
        <v>31</v>
      </c>
      <c r="L30" s="188" t="s">
        <v>31</v>
      </c>
      <c r="M30" s="188" t="s">
        <v>31</v>
      </c>
      <c r="N30" s="188"/>
      <c r="O30" s="401" t="s">
        <v>248</v>
      </c>
      <c r="P30" s="414">
        <v>0.03</v>
      </c>
      <c r="Q30" s="188"/>
      <c r="R30" s="188"/>
      <c r="S30" s="188"/>
      <c r="T30" s="188"/>
      <c r="U30" s="188"/>
    </row>
    <row r="31" spans="1:21">
      <c r="A31" s="112" t="s">
        <v>866</v>
      </c>
      <c r="B31" s="188">
        <f>R31</f>
        <v>2.9999999999999997E-4</v>
      </c>
      <c r="C31" s="188" t="s">
        <v>37</v>
      </c>
      <c r="D31" s="188" t="s">
        <v>43</v>
      </c>
      <c r="E31" s="188" t="s">
        <v>867</v>
      </c>
      <c r="F31" s="37" t="s">
        <v>29</v>
      </c>
      <c r="G31" s="188" t="s">
        <v>45</v>
      </c>
      <c r="H31" s="188">
        <v>2</v>
      </c>
      <c r="I31" s="188">
        <f t="shared" si="2"/>
        <v>-8.1117280833080727</v>
      </c>
      <c r="J31" s="464">
        <v>0.11236102527122109</v>
      </c>
      <c r="K31" s="188" t="s">
        <v>31</v>
      </c>
      <c r="L31" s="188" t="s">
        <v>31</v>
      </c>
      <c r="M31" s="188" t="s">
        <v>31</v>
      </c>
      <c r="N31" s="188"/>
      <c r="O31" s="418" t="s">
        <v>580</v>
      </c>
      <c r="P31" s="419">
        <v>0.3</v>
      </c>
      <c r="Q31" s="188" t="s">
        <v>241</v>
      </c>
      <c r="R31" s="188">
        <f>P31*0.001</f>
        <v>2.9999999999999997E-4</v>
      </c>
      <c r="S31" s="188"/>
      <c r="T31" s="188"/>
      <c r="U31" s="188"/>
    </row>
    <row r="32" spans="1:21">
      <c r="A32" s="404" t="s">
        <v>5</v>
      </c>
      <c r="B32" s="371" t="s">
        <v>1069</v>
      </c>
      <c r="C32" s="372"/>
      <c r="D32" s="353"/>
      <c r="E32" s="353"/>
      <c r="F32" s="353"/>
      <c r="G32" s="353"/>
      <c r="H32" s="353"/>
      <c r="I32" s="353"/>
      <c r="J32" s="353"/>
      <c r="K32" s="353"/>
      <c r="L32" s="353"/>
      <c r="M32" s="353"/>
      <c r="N32" s="353"/>
      <c r="O32" s="353"/>
      <c r="P32" s="353"/>
      <c r="Q32" s="353"/>
      <c r="R32" s="353"/>
      <c r="S32" s="188"/>
      <c r="T32" s="188"/>
      <c r="U32" s="188"/>
    </row>
    <row r="33" spans="1:21">
      <c r="A33" s="406" t="s">
        <v>7</v>
      </c>
      <c r="B33" s="188" t="s">
        <v>786</v>
      </c>
      <c r="C33" s="345"/>
      <c r="D33" s="188"/>
      <c r="E33" s="188"/>
      <c r="F33" s="188"/>
      <c r="G33" s="188"/>
      <c r="H33" s="188"/>
      <c r="I33" s="188"/>
      <c r="J33" s="188"/>
      <c r="K33" s="188"/>
      <c r="L33" s="188"/>
      <c r="M33" s="188"/>
      <c r="N33" s="188"/>
      <c r="O33" s="188"/>
      <c r="P33" s="188"/>
      <c r="Q33" s="188"/>
      <c r="R33" s="188"/>
      <c r="S33" s="188"/>
      <c r="T33" s="188"/>
      <c r="U33" s="188"/>
    </row>
    <row r="34" spans="1:21">
      <c r="A34" s="406" t="s">
        <v>9</v>
      </c>
      <c r="B34" s="188" t="s">
        <v>1071</v>
      </c>
      <c r="C34" s="345"/>
      <c r="D34" s="188"/>
      <c r="E34" s="188"/>
      <c r="F34" s="188"/>
      <c r="G34" s="188"/>
      <c r="H34" s="188"/>
      <c r="I34" s="188"/>
      <c r="J34" s="188"/>
      <c r="K34" s="188"/>
      <c r="L34" s="188"/>
      <c r="M34" s="188"/>
      <c r="N34" s="188"/>
      <c r="O34" s="188"/>
      <c r="P34" s="188"/>
      <c r="Q34" s="188"/>
      <c r="R34" s="188"/>
      <c r="S34" s="188"/>
      <c r="T34" s="188"/>
      <c r="U34" s="188"/>
    </row>
    <row r="35" spans="1:21" ht="15.75" customHeight="1">
      <c r="A35" s="406" t="s">
        <v>11</v>
      </c>
      <c r="B35" s="347" t="s">
        <v>796</v>
      </c>
      <c r="C35" s="188"/>
      <c r="D35" s="188"/>
      <c r="E35" s="188"/>
      <c r="F35" s="188"/>
      <c r="G35" s="188"/>
      <c r="H35" s="188"/>
      <c r="I35" s="188"/>
      <c r="J35" s="188"/>
      <c r="K35" s="188"/>
      <c r="L35" s="188"/>
      <c r="M35" s="188"/>
      <c r="N35" s="188"/>
      <c r="O35" s="188"/>
      <c r="P35" s="188"/>
      <c r="Q35" s="188"/>
      <c r="R35" s="188"/>
      <c r="S35" s="188"/>
      <c r="T35" s="389"/>
      <c r="U35" s="188"/>
    </row>
    <row r="36" spans="1:21">
      <c r="A36" s="406" t="s">
        <v>13</v>
      </c>
      <c r="B36" s="188" t="s">
        <v>14</v>
      </c>
      <c r="C36" s="188"/>
      <c r="D36" s="188"/>
      <c r="E36" s="188"/>
      <c r="F36" s="188"/>
      <c r="G36" s="188"/>
      <c r="H36" s="188"/>
      <c r="I36" s="188"/>
      <c r="J36" s="188"/>
      <c r="K36" s="188"/>
      <c r="L36" s="188"/>
      <c r="M36" s="188"/>
      <c r="N36" s="188"/>
      <c r="O36" s="188"/>
      <c r="P36" s="188"/>
      <c r="Q36" s="188"/>
      <c r="R36" s="188"/>
      <c r="S36" s="188"/>
      <c r="T36" s="188"/>
      <c r="U36" s="188"/>
    </row>
    <row r="37" spans="1:21">
      <c r="A37" s="406" t="s">
        <v>15</v>
      </c>
      <c r="B37" s="188">
        <v>0.05</v>
      </c>
      <c r="C37" s="188"/>
      <c r="D37" s="188"/>
      <c r="E37" s="188"/>
      <c r="F37" s="188"/>
      <c r="G37" s="188"/>
      <c r="H37" s="188"/>
      <c r="I37" s="188"/>
      <c r="J37" s="188"/>
      <c r="K37" s="188"/>
      <c r="L37" s="188"/>
      <c r="M37" s="188"/>
      <c r="N37" s="188"/>
      <c r="O37" s="188"/>
      <c r="P37" s="188" t="s">
        <v>1072</v>
      </c>
      <c r="Q37" s="188"/>
      <c r="R37" s="188"/>
      <c r="S37" s="188"/>
      <c r="T37" s="188"/>
      <c r="U37" s="188"/>
    </row>
    <row r="38" spans="1:21">
      <c r="A38" s="406" t="s">
        <v>16</v>
      </c>
      <c r="B38" s="188" t="s">
        <v>17</v>
      </c>
      <c r="C38" s="188"/>
      <c r="D38" s="188"/>
      <c r="E38" s="188"/>
      <c r="F38" s="188"/>
      <c r="G38" s="188"/>
      <c r="H38" s="188"/>
      <c r="I38" s="188"/>
      <c r="J38" s="188"/>
      <c r="K38" s="188"/>
      <c r="L38" s="188"/>
      <c r="M38" s="188"/>
      <c r="N38" s="188"/>
      <c r="O38" s="188"/>
      <c r="P38" s="188">
        <f>0.05/0.28</f>
        <v>0.17857142857142858</v>
      </c>
      <c r="Q38" s="188" t="s">
        <v>838</v>
      </c>
      <c r="R38" s="188"/>
      <c r="S38" s="188"/>
      <c r="T38" s="188"/>
      <c r="U38" s="188"/>
    </row>
    <row r="39" spans="1:21">
      <c r="A39" s="406" t="s">
        <v>18</v>
      </c>
      <c r="B39" s="188" t="s">
        <v>609</v>
      </c>
      <c r="C39" s="188"/>
      <c r="D39" s="188"/>
      <c r="E39" s="188"/>
      <c r="F39" s="188"/>
      <c r="G39" s="188"/>
      <c r="H39" s="188"/>
      <c r="I39" s="188"/>
      <c r="J39" s="188"/>
      <c r="K39" s="188"/>
      <c r="L39" s="188"/>
      <c r="M39" s="188"/>
      <c r="N39" s="188"/>
      <c r="O39" s="188"/>
      <c r="P39" s="188"/>
      <c r="Q39" s="188"/>
      <c r="R39" s="188"/>
      <c r="S39" s="188"/>
      <c r="T39" s="188"/>
      <c r="U39" s="188"/>
    </row>
    <row r="40" spans="1:21">
      <c r="A40" s="407" t="s">
        <v>19</v>
      </c>
      <c r="B40" s="188"/>
      <c r="C40" s="188"/>
      <c r="D40" s="188"/>
      <c r="E40" s="188"/>
      <c r="F40" s="188"/>
      <c r="G40" s="188"/>
      <c r="H40" s="188"/>
      <c r="I40" s="188"/>
      <c r="J40" s="188"/>
      <c r="K40" s="188"/>
      <c r="L40" s="188"/>
      <c r="M40" s="188"/>
      <c r="N40" s="188"/>
      <c r="O40" s="188"/>
      <c r="P40" s="188"/>
      <c r="Q40" s="188"/>
      <c r="R40" s="188"/>
      <c r="S40" s="188"/>
      <c r="T40" s="188"/>
      <c r="U40" s="188"/>
    </row>
    <row r="41" spans="1:21">
      <c r="A41" s="407" t="s">
        <v>20</v>
      </c>
      <c r="B41" s="344" t="s">
        <v>21</v>
      </c>
      <c r="C41" s="344" t="s">
        <v>18</v>
      </c>
      <c r="D41" s="344" t="s">
        <v>22</v>
      </c>
      <c r="E41" s="344" t="s">
        <v>7</v>
      </c>
      <c r="F41" s="344" t="s">
        <v>13</v>
      </c>
      <c r="G41" s="344" t="s">
        <v>16</v>
      </c>
      <c r="H41" s="344" t="s">
        <v>23</v>
      </c>
      <c r="I41" s="344" t="s">
        <v>24</v>
      </c>
      <c r="J41" s="344" t="s">
        <v>25</v>
      </c>
      <c r="K41" s="344" t="s">
        <v>26</v>
      </c>
      <c r="L41" s="344" t="s">
        <v>27</v>
      </c>
      <c r="M41" s="344" t="s">
        <v>28</v>
      </c>
      <c r="N41" s="344" t="s">
        <v>11</v>
      </c>
      <c r="O41" s="188"/>
      <c r="P41" s="188"/>
      <c r="Q41" s="188"/>
      <c r="R41" s="188"/>
      <c r="S41" s="188"/>
      <c r="T41" s="188"/>
      <c r="U41" s="188"/>
    </row>
    <row r="42" spans="1:21">
      <c r="A42" s="381" t="s">
        <v>1069</v>
      </c>
      <c r="B42" s="188">
        <v>0.05</v>
      </c>
      <c r="C42" s="188" t="s">
        <v>609</v>
      </c>
      <c r="D42" s="408" t="s">
        <v>2</v>
      </c>
      <c r="E42" s="188" t="s">
        <v>29</v>
      </c>
      <c r="F42" s="37" t="s">
        <v>14</v>
      </c>
      <c r="G42" s="188" t="s">
        <v>30</v>
      </c>
      <c r="H42" s="188">
        <v>1</v>
      </c>
      <c r="I42" s="188">
        <f t="shared" ref="I42:I43" si="3">B42</f>
        <v>0.05</v>
      </c>
      <c r="J42" s="188" t="s">
        <v>31</v>
      </c>
      <c r="K42" s="188" t="s">
        <v>31</v>
      </c>
      <c r="L42" s="188" t="s">
        <v>31</v>
      </c>
      <c r="M42" s="188" t="s">
        <v>31</v>
      </c>
      <c r="N42" s="188"/>
      <c r="O42" s="188"/>
      <c r="P42" s="188"/>
      <c r="Q42" s="188"/>
      <c r="R42" s="188"/>
      <c r="S42" s="188">
        <f>0.16/0.25</f>
        <v>0.64</v>
      </c>
      <c r="T42" s="188" t="s">
        <v>891</v>
      </c>
      <c r="U42" s="188"/>
    </row>
    <row r="43" spans="1:21">
      <c r="A43" s="188" t="s">
        <v>1073</v>
      </c>
      <c r="B43" s="420">
        <f>B68</f>
        <v>0.28000000000000003</v>
      </c>
      <c r="C43" s="188" t="s">
        <v>37</v>
      </c>
      <c r="D43" s="408" t="s">
        <v>2</v>
      </c>
      <c r="E43" s="188" t="s">
        <v>29</v>
      </c>
      <c r="F43" s="37" t="s">
        <v>14</v>
      </c>
      <c r="G43" s="188" t="s">
        <v>33</v>
      </c>
      <c r="H43" s="188">
        <v>1</v>
      </c>
      <c r="I43" s="188">
        <f t="shared" si="3"/>
        <v>0.28000000000000003</v>
      </c>
      <c r="J43" s="188" t="s">
        <v>31</v>
      </c>
      <c r="K43" s="188" t="s">
        <v>31</v>
      </c>
      <c r="L43" s="188" t="s">
        <v>31</v>
      </c>
      <c r="M43" s="188" t="s">
        <v>31</v>
      </c>
      <c r="N43" s="188"/>
      <c r="O43" s="401"/>
      <c r="P43" s="414"/>
      <c r="Q43" s="188"/>
      <c r="R43" s="188"/>
      <c r="S43" s="188"/>
      <c r="T43" s="188"/>
      <c r="U43" s="188"/>
    </row>
    <row r="44" spans="1:21">
      <c r="A44" s="406" t="s">
        <v>269</v>
      </c>
      <c r="B44" s="350">
        <f>P44</f>
        <v>0.38</v>
      </c>
      <c r="C44" s="188" t="s">
        <v>39</v>
      </c>
      <c r="D44" s="188" t="s">
        <v>40</v>
      </c>
      <c r="E44" s="188" t="s">
        <v>29</v>
      </c>
      <c r="F44" s="37" t="s">
        <v>35</v>
      </c>
      <c r="G44" s="188" t="s">
        <v>33</v>
      </c>
      <c r="H44" s="188">
        <v>2</v>
      </c>
      <c r="I44" s="188">
        <f t="shared" ref="I44" si="4">LN(B44)</f>
        <v>-0.96758402626170559</v>
      </c>
      <c r="J44" s="464">
        <v>7.2284161474004766E-2</v>
      </c>
      <c r="K44" s="188" t="s">
        <v>31</v>
      </c>
      <c r="L44" s="188" t="s">
        <v>31</v>
      </c>
      <c r="M44" s="188" t="s">
        <v>31</v>
      </c>
      <c r="N44" s="188"/>
      <c r="O44" s="401" t="s">
        <v>248</v>
      </c>
      <c r="P44" s="138">
        <v>0.38</v>
      </c>
      <c r="Q44" s="188"/>
      <c r="R44" s="188"/>
      <c r="S44" s="188"/>
      <c r="T44" s="188"/>
      <c r="U44" s="188"/>
    </row>
    <row r="45" spans="1:21">
      <c r="A45" s="112" t="s">
        <v>310</v>
      </c>
      <c r="B45" s="188">
        <f>R45</f>
        <v>9.0000000000000011E-3</v>
      </c>
      <c r="C45" s="188" t="s">
        <v>37</v>
      </c>
      <c r="D45" s="188" t="s">
        <v>40</v>
      </c>
      <c r="E45" s="188" t="s">
        <v>29</v>
      </c>
      <c r="F45" s="37" t="s">
        <v>59</v>
      </c>
      <c r="G45" s="188" t="s">
        <v>33</v>
      </c>
      <c r="H45" s="188">
        <v>2</v>
      </c>
      <c r="I45" s="188">
        <f>LN(B45)</f>
        <v>-4.7105307016459177</v>
      </c>
      <c r="J45" s="464">
        <v>7.2284161474004766E-2</v>
      </c>
      <c r="K45" s="188" t="s">
        <v>31</v>
      </c>
      <c r="L45" s="188" t="s">
        <v>31</v>
      </c>
      <c r="M45" s="188" t="s">
        <v>31</v>
      </c>
      <c r="N45" s="188"/>
      <c r="O45" s="401" t="s">
        <v>580</v>
      </c>
      <c r="P45" s="138">
        <v>9</v>
      </c>
      <c r="Q45" s="188" t="s">
        <v>241</v>
      </c>
      <c r="R45" s="188">
        <f>P45*0.001</f>
        <v>9.0000000000000011E-3</v>
      </c>
      <c r="S45" s="188"/>
      <c r="T45" s="188"/>
      <c r="U45" s="188"/>
    </row>
    <row r="46" spans="1:21">
      <c r="A46" s="112" t="s">
        <v>871</v>
      </c>
      <c r="B46" s="188">
        <f>R46</f>
        <v>1.6E-2</v>
      </c>
      <c r="C46" s="188" t="s">
        <v>37</v>
      </c>
      <c r="D46" s="188" t="s">
        <v>40</v>
      </c>
      <c r="E46" s="188" t="s">
        <v>29</v>
      </c>
      <c r="F46" s="37" t="s">
        <v>35</v>
      </c>
      <c r="G46" s="188" t="s">
        <v>33</v>
      </c>
      <c r="H46" s="188">
        <v>2</v>
      </c>
      <c r="I46" s="188">
        <f>LN(B46)</f>
        <v>-4.1351665567423561</v>
      </c>
      <c r="J46" s="464">
        <v>7.2284161474004766E-2</v>
      </c>
      <c r="K46" s="188" t="s">
        <v>31</v>
      </c>
      <c r="L46" s="188" t="s">
        <v>31</v>
      </c>
      <c r="M46" s="188" t="s">
        <v>31</v>
      </c>
      <c r="N46" s="188"/>
      <c r="O46" s="401" t="s">
        <v>580</v>
      </c>
      <c r="P46" s="138">
        <v>16</v>
      </c>
      <c r="Q46" s="188" t="s">
        <v>241</v>
      </c>
      <c r="R46" s="188">
        <f>P46*0.001</f>
        <v>1.6E-2</v>
      </c>
      <c r="S46" s="188"/>
      <c r="T46" s="188"/>
      <c r="U46" s="188"/>
    </row>
    <row r="47" spans="1:21">
      <c r="A47" s="112" t="s">
        <v>799</v>
      </c>
      <c r="B47" s="188">
        <f>P47</f>
        <v>14.3</v>
      </c>
      <c r="C47" s="188" t="s">
        <v>37</v>
      </c>
      <c r="D47" s="188" t="s">
        <v>40</v>
      </c>
      <c r="E47" s="188" t="s">
        <v>29</v>
      </c>
      <c r="F47" s="37" t="s">
        <v>74</v>
      </c>
      <c r="G47" s="188" t="s">
        <v>33</v>
      </c>
      <c r="H47" s="188">
        <v>2</v>
      </c>
      <c r="I47" s="188">
        <f>LN(B47)</f>
        <v>2.6602595372658615</v>
      </c>
      <c r="J47" s="464">
        <v>7.2284161474004766E-2</v>
      </c>
      <c r="K47" s="188" t="s">
        <v>31</v>
      </c>
      <c r="L47" s="188" t="s">
        <v>31</v>
      </c>
      <c r="M47" s="188" t="s">
        <v>31</v>
      </c>
      <c r="N47" s="188"/>
      <c r="O47" s="401" t="s">
        <v>241</v>
      </c>
      <c r="P47" s="138">
        <v>14.3</v>
      </c>
      <c r="Q47" s="188"/>
      <c r="R47" s="188"/>
      <c r="S47" s="188"/>
      <c r="T47" s="188"/>
      <c r="U47" s="188"/>
    </row>
    <row r="48" spans="1:21">
      <c r="A48" s="112" t="s">
        <v>76</v>
      </c>
      <c r="B48" s="188">
        <f>R48</f>
        <v>1.43E-2</v>
      </c>
      <c r="C48" s="188" t="s">
        <v>42</v>
      </c>
      <c r="D48" s="188" t="s">
        <v>40</v>
      </c>
      <c r="E48" s="188" t="s">
        <v>29</v>
      </c>
      <c r="F48" s="37" t="s">
        <v>74</v>
      </c>
      <c r="G48" s="188" t="s">
        <v>33</v>
      </c>
      <c r="H48" s="188">
        <v>2</v>
      </c>
      <c r="I48" s="188">
        <f t="shared" ref="I48" si="5">LN(B48)</f>
        <v>-4.2474957417162758</v>
      </c>
      <c r="J48" s="464">
        <v>7.2284161474004766E-2</v>
      </c>
      <c r="K48" s="188" t="s">
        <v>31</v>
      </c>
      <c r="L48" s="188" t="s">
        <v>31</v>
      </c>
      <c r="M48" s="188" t="s">
        <v>31</v>
      </c>
      <c r="N48" s="188"/>
      <c r="O48" s="418" t="s">
        <v>863</v>
      </c>
      <c r="P48" s="142">
        <v>14.3</v>
      </c>
      <c r="Q48" s="188" t="s">
        <v>251</v>
      </c>
      <c r="R48" s="188">
        <f>P48/1000</f>
        <v>1.43E-2</v>
      </c>
      <c r="S48" s="188"/>
      <c r="T48" s="188"/>
      <c r="U48" s="188"/>
    </row>
    <row r="49" spans="1:21">
      <c r="A49" s="404" t="s">
        <v>5</v>
      </c>
      <c r="B49" s="371" t="s">
        <v>1074</v>
      </c>
      <c r="C49" s="372"/>
      <c r="D49" s="353"/>
      <c r="E49" s="353"/>
      <c r="F49" s="353"/>
      <c r="G49" s="353"/>
      <c r="H49" s="353"/>
      <c r="I49" s="353"/>
      <c r="J49" s="353"/>
      <c r="K49" s="353"/>
      <c r="L49" s="353"/>
      <c r="M49" s="353"/>
      <c r="N49" s="353"/>
      <c r="O49" s="353"/>
      <c r="P49" s="353"/>
      <c r="Q49" s="353"/>
      <c r="R49" s="353"/>
      <c r="S49" s="188"/>
      <c r="T49" s="188"/>
      <c r="U49" s="188"/>
    </row>
    <row r="50" spans="1:21">
      <c r="A50" s="406" t="s">
        <v>7</v>
      </c>
      <c r="B50" s="188" t="s">
        <v>786</v>
      </c>
      <c r="C50" s="345"/>
      <c r="D50" s="188"/>
      <c r="E50" s="188"/>
      <c r="F50" s="188"/>
      <c r="G50" s="188"/>
      <c r="H50" s="188"/>
      <c r="I50" s="188"/>
      <c r="J50" s="188"/>
      <c r="K50" s="188"/>
      <c r="L50" s="188"/>
      <c r="M50" s="188"/>
      <c r="N50" s="188"/>
      <c r="O50" s="188"/>
      <c r="P50" s="188"/>
      <c r="Q50" s="188"/>
      <c r="R50" s="188"/>
      <c r="S50" s="188"/>
      <c r="T50" s="188"/>
      <c r="U50" s="188"/>
    </row>
    <row r="51" spans="1:21">
      <c r="A51" s="406" t="s">
        <v>9</v>
      </c>
      <c r="B51" s="188" t="s">
        <v>1075</v>
      </c>
      <c r="C51" s="345"/>
      <c r="D51" s="188"/>
      <c r="E51" s="188"/>
      <c r="F51" s="188"/>
      <c r="G51" s="188"/>
      <c r="H51" s="188"/>
      <c r="I51" s="188"/>
      <c r="J51" s="188"/>
      <c r="K51" s="188"/>
      <c r="L51" s="188"/>
      <c r="M51" s="188"/>
      <c r="N51" s="188"/>
      <c r="O51" s="188"/>
      <c r="P51" s="188"/>
      <c r="Q51" s="188"/>
      <c r="R51" s="188"/>
      <c r="S51" s="188"/>
      <c r="T51" s="188"/>
      <c r="U51" s="188"/>
    </row>
    <row r="52" spans="1:21" ht="10.5" customHeight="1">
      <c r="A52" s="406" t="s">
        <v>11</v>
      </c>
      <c r="B52" s="347" t="s">
        <v>796</v>
      </c>
      <c r="C52" s="188"/>
      <c r="D52" s="188"/>
      <c r="E52" s="188"/>
      <c r="F52" s="188"/>
      <c r="G52" s="188"/>
      <c r="H52" s="188"/>
      <c r="I52" s="188"/>
      <c r="J52" s="188"/>
      <c r="K52" s="188"/>
      <c r="L52" s="188"/>
      <c r="M52" s="188"/>
      <c r="N52" s="188"/>
      <c r="O52" s="188"/>
      <c r="P52" s="188"/>
      <c r="Q52" s="188"/>
      <c r="R52" s="188"/>
      <c r="S52" s="188"/>
      <c r="T52" s="188"/>
      <c r="U52" s="188"/>
    </row>
    <row r="53" spans="1:21">
      <c r="A53" s="406" t="s">
        <v>13</v>
      </c>
      <c r="B53" s="188" t="s">
        <v>14</v>
      </c>
      <c r="C53" s="188"/>
      <c r="D53" s="188"/>
      <c r="E53" s="188"/>
      <c r="F53" s="188"/>
      <c r="G53" s="188"/>
      <c r="H53" s="188"/>
      <c r="I53" s="188"/>
      <c r="J53" s="188"/>
      <c r="K53" s="188"/>
      <c r="L53" s="188"/>
      <c r="M53" s="188"/>
      <c r="N53" s="188"/>
      <c r="O53" s="188"/>
      <c r="P53" s="188"/>
      <c r="Q53" s="188"/>
      <c r="R53" s="188"/>
      <c r="S53" s="188"/>
      <c r="T53" s="188"/>
      <c r="U53" s="188"/>
    </row>
    <row r="54" spans="1:21">
      <c r="A54" s="406" t="s">
        <v>15</v>
      </c>
      <c r="B54" s="420">
        <f>B59</f>
        <v>1.7999999999999999E-2</v>
      </c>
      <c r="C54" s="188"/>
      <c r="D54" s="188"/>
      <c r="E54" s="188"/>
      <c r="F54" s="188"/>
      <c r="G54" s="188"/>
      <c r="H54" s="188"/>
      <c r="I54" s="188"/>
      <c r="J54" s="188"/>
      <c r="K54" s="188"/>
      <c r="L54" s="188"/>
      <c r="M54" s="188"/>
      <c r="N54" s="188"/>
      <c r="O54" s="188"/>
      <c r="P54" s="188"/>
      <c r="Q54" s="188"/>
      <c r="R54" s="188"/>
      <c r="S54" s="188"/>
      <c r="T54" s="188"/>
      <c r="U54" s="188"/>
    </row>
    <row r="55" spans="1:21">
      <c r="A55" s="406" t="s">
        <v>16</v>
      </c>
      <c r="B55" s="188" t="s">
        <v>17</v>
      </c>
      <c r="C55" s="188"/>
      <c r="D55" s="188"/>
      <c r="E55" s="188"/>
      <c r="F55" s="188"/>
      <c r="G55" s="188"/>
      <c r="H55" s="188"/>
      <c r="I55" s="188"/>
      <c r="J55" s="188"/>
      <c r="K55" s="188"/>
      <c r="L55" s="188"/>
      <c r="M55" s="188"/>
      <c r="N55" s="188"/>
      <c r="O55" s="188"/>
      <c r="P55" s="188"/>
      <c r="Q55" s="188"/>
      <c r="R55" s="188"/>
      <c r="S55" s="188"/>
      <c r="T55" s="188"/>
      <c r="U55" s="188"/>
    </row>
    <row r="56" spans="1:21">
      <c r="A56" s="406" t="s">
        <v>18</v>
      </c>
      <c r="B56" s="188" t="s">
        <v>37</v>
      </c>
      <c r="C56" s="188"/>
      <c r="D56" s="188"/>
      <c r="E56" s="188"/>
      <c r="F56" s="188"/>
      <c r="G56" s="188"/>
      <c r="H56" s="188"/>
      <c r="I56" s="188"/>
      <c r="J56" s="188"/>
      <c r="K56" s="188"/>
      <c r="L56" s="188"/>
      <c r="M56" s="188"/>
      <c r="N56" s="188"/>
      <c r="O56" s="188"/>
      <c r="P56" s="188"/>
      <c r="Q56" s="188"/>
      <c r="R56" s="188"/>
      <c r="S56" s="188"/>
      <c r="T56" s="188"/>
      <c r="U56" s="188"/>
    </row>
    <row r="57" spans="1:21">
      <c r="A57" s="407" t="s">
        <v>19</v>
      </c>
      <c r="B57" s="188"/>
      <c r="C57" s="188"/>
      <c r="D57" s="188"/>
      <c r="E57" s="188"/>
      <c r="F57" s="188"/>
      <c r="G57" s="188"/>
      <c r="H57" s="188"/>
      <c r="I57" s="188"/>
      <c r="J57" s="188"/>
      <c r="K57" s="188"/>
      <c r="L57" s="188"/>
      <c r="M57" s="188"/>
      <c r="N57" s="188"/>
      <c r="O57" s="188"/>
      <c r="P57" s="188"/>
      <c r="Q57" s="188"/>
      <c r="R57" s="188"/>
      <c r="S57" s="188"/>
      <c r="T57" s="188"/>
      <c r="U57" s="188"/>
    </row>
    <row r="58" spans="1:21">
      <c r="A58" s="407" t="s">
        <v>20</v>
      </c>
      <c r="B58" s="344" t="s">
        <v>21</v>
      </c>
      <c r="C58" s="344" t="s">
        <v>18</v>
      </c>
      <c r="D58" s="344" t="s">
        <v>22</v>
      </c>
      <c r="E58" s="344" t="s">
        <v>7</v>
      </c>
      <c r="F58" s="344" t="s">
        <v>13</v>
      </c>
      <c r="G58" s="344" t="s">
        <v>16</v>
      </c>
      <c r="H58" s="344" t="s">
        <v>23</v>
      </c>
      <c r="I58" s="344" t="s">
        <v>24</v>
      </c>
      <c r="J58" s="344" t="s">
        <v>25</v>
      </c>
      <c r="K58" s="344" t="s">
        <v>26</v>
      </c>
      <c r="L58" s="344" t="s">
        <v>27</v>
      </c>
      <c r="M58" s="344" t="s">
        <v>28</v>
      </c>
      <c r="N58" s="344" t="s">
        <v>11</v>
      </c>
      <c r="O58" s="188"/>
      <c r="P58" s="188"/>
      <c r="Q58" s="188"/>
      <c r="R58" s="188"/>
      <c r="S58" s="188"/>
      <c r="T58" s="188"/>
      <c r="U58" s="188"/>
    </row>
    <row r="59" spans="1:21">
      <c r="A59" s="381" t="s">
        <v>1074</v>
      </c>
      <c r="B59" s="420">
        <v>1.7999999999999999E-2</v>
      </c>
      <c r="C59" s="188" t="s">
        <v>37</v>
      </c>
      <c r="D59" s="408" t="s">
        <v>2</v>
      </c>
      <c r="E59" s="188" t="s">
        <v>29</v>
      </c>
      <c r="F59" s="37" t="s">
        <v>14</v>
      </c>
      <c r="G59" s="188" t="s">
        <v>30</v>
      </c>
      <c r="H59" s="188">
        <v>1</v>
      </c>
      <c r="I59" s="188">
        <f>B59</f>
        <v>1.7999999999999999E-2</v>
      </c>
      <c r="J59" s="188" t="s">
        <v>31</v>
      </c>
      <c r="K59" s="188" t="s">
        <v>31</v>
      </c>
      <c r="L59" s="188" t="s">
        <v>31</v>
      </c>
      <c r="M59" s="188" t="s">
        <v>31</v>
      </c>
      <c r="N59" s="188"/>
      <c r="O59" s="192"/>
      <c r="P59" s="421"/>
      <c r="Q59" s="188"/>
      <c r="R59" s="188"/>
      <c r="S59" s="188"/>
      <c r="T59" s="188"/>
      <c r="U59" s="188"/>
    </row>
    <row r="60" spans="1:21">
      <c r="A60" s="112" t="s">
        <v>874</v>
      </c>
      <c r="B60" s="350">
        <f>R60</f>
        <v>1.9E-2</v>
      </c>
      <c r="C60" s="188" t="s">
        <v>37</v>
      </c>
      <c r="D60" s="188" t="s">
        <v>40</v>
      </c>
      <c r="E60" s="188" t="s">
        <v>29</v>
      </c>
      <c r="F60" s="37" t="s">
        <v>59</v>
      </c>
      <c r="G60" s="188" t="s">
        <v>33</v>
      </c>
      <c r="H60" s="188">
        <v>2</v>
      </c>
      <c r="I60" s="188">
        <f>LN(B60)</f>
        <v>-3.9633162998156966</v>
      </c>
      <c r="J60" s="188">
        <v>7.2284161474004766E-2</v>
      </c>
      <c r="K60" s="188" t="s">
        <v>31</v>
      </c>
      <c r="L60" s="188" t="s">
        <v>31</v>
      </c>
      <c r="M60" s="188" t="s">
        <v>31</v>
      </c>
      <c r="N60" s="188"/>
      <c r="O60" s="401" t="s">
        <v>580</v>
      </c>
      <c r="P60" s="138">
        <v>19</v>
      </c>
      <c r="Q60" s="188" t="s">
        <v>241</v>
      </c>
      <c r="R60" s="188">
        <f>P60*0.001</f>
        <v>1.9E-2</v>
      </c>
      <c r="S60" s="188"/>
      <c r="T60" s="188"/>
      <c r="U60" s="188"/>
    </row>
    <row r="61" spans="1:21">
      <c r="A61" s="406" t="s">
        <v>269</v>
      </c>
      <c r="B61" s="350">
        <f>P61</f>
        <v>0.09</v>
      </c>
      <c r="C61" s="188" t="s">
        <v>39</v>
      </c>
      <c r="D61" s="188" t="s">
        <v>40</v>
      </c>
      <c r="E61" s="188" t="s">
        <v>29</v>
      </c>
      <c r="F61" s="37" t="s">
        <v>35</v>
      </c>
      <c r="G61" s="188" t="s">
        <v>33</v>
      </c>
      <c r="H61" s="188">
        <v>2</v>
      </c>
      <c r="I61" s="188">
        <f t="shared" ref="I61:I62" si="6">LN(B61)</f>
        <v>-2.4079456086518722</v>
      </c>
      <c r="J61" s="188">
        <v>7.2284161474004766E-2</v>
      </c>
      <c r="K61" s="188" t="s">
        <v>31</v>
      </c>
      <c r="L61" s="188" t="s">
        <v>31</v>
      </c>
      <c r="M61" s="188" t="s">
        <v>31</v>
      </c>
      <c r="N61" s="188"/>
      <c r="O61" s="401" t="s">
        <v>248</v>
      </c>
      <c r="P61" s="138">
        <v>0.09</v>
      </c>
      <c r="Q61" s="188"/>
      <c r="R61" s="188"/>
      <c r="S61" s="188"/>
      <c r="T61" s="188"/>
      <c r="U61" s="188"/>
    </row>
    <row r="62" spans="1:21">
      <c r="A62" s="381" t="s">
        <v>790</v>
      </c>
      <c r="B62" s="188">
        <v>1.8E-3</v>
      </c>
      <c r="C62" s="188" t="s">
        <v>37</v>
      </c>
      <c r="D62" s="408" t="s">
        <v>2</v>
      </c>
      <c r="E62" s="188" t="s">
        <v>29</v>
      </c>
      <c r="F62" s="37" t="s">
        <v>74</v>
      </c>
      <c r="G62" s="188" t="s">
        <v>33</v>
      </c>
      <c r="H62" s="188">
        <v>2</v>
      </c>
      <c r="I62" s="188">
        <f t="shared" si="6"/>
        <v>-6.3199686140800182</v>
      </c>
      <c r="J62" s="188">
        <v>7.2284161474004766E-2</v>
      </c>
      <c r="K62" s="188" t="s">
        <v>31</v>
      </c>
      <c r="L62" s="188" t="s">
        <v>31</v>
      </c>
      <c r="M62" s="188" t="s">
        <v>31</v>
      </c>
      <c r="N62" s="188"/>
      <c r="O62" s="188"/>
      <c r="P62" s="188"/>
      <c r="Q62" s="188"/>
      <c r="R62" s="188"/>
      <c r="S62" s="188"/>
      <c r="T62" s="188"/>
      <c r="U62" s="188"/>
    </row>
    <row r="63" spans="1:21" s="17" customFormat="1" ht="15.6">
      <c r="A63" s="404" t="s">
        <v>5</v>
      </c>
      <c r="B63" s="371" t="s">
        <v>1073</v>
      </c>
      <c r="C63" s="372"/>
      <c r="D63" s="353"/>
      <c r="E63" s="353"/>
      <c r="F63" s="353"/>
      <c r="G63" s="353"/>
      <c r="H63" s="353"/>
      <c r="I63" s="353"/>
      <c r="J63" s="353"/>
      <c r="K63" s="353"/>
      <c r="L63" s="353"/>
      <c r="M63" s="353"/>
      <c r="N63" s="353"/>
      <c r="O63" s="422"/>
      <c r="P63" s="422"/>
      <c r="Q63" s="422"/>
      <c r="R63" s="422"/>
    </row>
    <row r="64" spans="1:21" s="17" customFormat="1" ht="15.6">
      <c r="A64" s="406" t="s">
        <v>7</v>
      </c>
      <c r="B64" s="188" t="s">
        <v>786</v>
      </c>
      <c r="C64" s="345"/>
      <c r="D64" s="188"/>
      <c r="E64" s="188"/>
      <c r="F64" s="188"/>
      <c r="G64" s="188"/>
      <c r="H64" s="188"/>
      <c r="I64" s="188"/>
      <c r="J64" s="188"/>
      <c r="K64" s="188"/>
      <c r="L64" s="188"/>
      <c r="M64" s="188"/>
      <c r="N64" s="188"/>
    </row>
    <row r="65" spans="1:16" s="17" customFormat="1" ht="15.6">
      <c r="A65" s="406" t="s">
        <v>9</v>
      </c>
      <c r="B65" s="188" t="s">
        <v>1076</v>
      </c>
      <c r="C65" s="345"/>
      <c r="D65" s="188"/>
      <c r="E65" s="188"/>
      <c r="F65" s="188"/>
      <c r="G65" s="188"/>
      <c r="H65" s="188"/>
      <c r="I65" s="188"/>
      <c r="J65" s="188"/>
      <c r="K65" s="188"/>
      <c r="L65" s="188"/>
      <c r="M65" s="188"/>
      <c r="N65" s="188"/>
    </row>
    <row r="66" spans="1:16" s="17" customFormat="1" ht="10.5" customHeight="1">
      <c r="A66" s="406" t="s">
        <v>11</v>
      </c>
      <c r="B66" s="347" t="s">
        <v>796</v>
      </c>
      <c r="C66" s="188"/>
      <c r="D66" s="188"/>
      <c r="E66" s="188"/>
      <c r="F66" s="188"/>
      <c r="G66" s="188"/>
      <c r="H66" s="188"/>
      <c r="I66" s="188"/>
      <c r="J66" s="188"/>
      <c r="K66" s="188"/>
      <c r="L66" s="188"/>
      <c r="M66" s="188"/>
      <c r="N66" s="188"/>
    </row>
    <row r="67" spans="1:16" s="17" customFormat="1" ht="15.6">
      <c r="A67" s="406" t="s">
        <v>13</v>
      </c>
      <c r="B67" s="188" t="s">
        <v>14</v>
      </c>
      <c r="C67" s="188"/>
      <c r="D67" s="188"/>
      <c r="E67" s="188"/>
      <c r="F67" s="188"/>
      <c r="G67" s="188"/>
      <c r="H67" s="188"/>
      <c r="I67" s="188"/>
      <c r="J67" s="188"/>
      <c r="K67" s="188"/>
      <c r="L67" s="188"/>
      <c r="M67" s="188"/>
      <c r="N67" s="188"/>
    </row>
    <row r="68" spans="1:16" s="17" customFormat="1" ht="15.6">
      <c r="A68" s="406" t="s">
        <v>15</v>
      </c>
      <c r="B68" s="358">
        <f>B73</f>
        <v>0.28000000000000003</v>
      </c>
      <c r="C68" s="188"/>
      <c r="D68" s="188"/>
      <c r="E68" s="188"/>
      <c r="F68" s="188"/>
      <c r="G68" s="188"/>
      <c r="H68" s="188"/>
      <c r="I68" s="188"/>
      <c r="J68" s="188"/>
      <c r="K68" s="188"/>
      <c r="L68" s="188"/>
      <c r="M68" s="188"/>
      <c r="N68" s="188"/>
    </row>
    <row r="69" spans="1:16" s="17" customFormat="1" ht="15.6">
      <c r="A69" s="406" t="s">
        <v>16</v>
      </c>
      <c r="B69" s="188" t="s">
        <v>17</v>
      </c>
      <c r="C69" s="188"/>
      <c r="D69" s="188"/>
      <c r="E69" s="188"/>
      <c r="F69" s="188"/>
      <c r="G69" s="188"/>
      <c r="H69" s="188"/>
      <c r="I69" s="188"/>
      <c r="J69" s="188"/>
      <c r="K69" s="188"/>
      <c r="L69" s="188"/>
      <c r="M69" s="188"/>
      <c r="N69" s="188"/>
    </row>
    <row r="70" spans="1:16" s="17" customFormat="1" ht="15.6">
      <c r="A70" s="406" t="s">
        <v>18</v>
      </c>
      <c r="B70" s="188" t="s">
        <v>37</v>
      </c>
      <c r="C70" s="188"/>
      <c r="D70" s="188"/>
      <c r="E70" s="188"/>
      <c r="F70" s="188"/>
      <c r="G70" s="188"/>
      <c r="H70" s="188"/>
      <c r="I70" s="188"/>
      <c r="J70" s="188"/>
      <c r="K70" s="188"/>
      <c r="L70" s="188"/>
      <c r="M70" s="188"/>
      <c r="N70" s="188"/>
    </row>
    <row r="71" spans="1:16" s="17" customFormat="1" ht="15.6">
      <c r="A71" s="407" t="s">
        <v>19</v>
      </c>
      <c r="B71" s="188"/>
      <c r="C71" s="188"/>
      <c r="D71" s="188"/>
      <c r="E71" s="188"/>
      <c r="F71" s="188"/>
      <c r="G71" s="188"/>
      <c r="H71" s="188"/>
      <c r="I71" s="188"/>
      <c r="J71" s="188"/>
      <c r="K71" s="188"/>
      <c r="L71" s="188"/>
      <c r="M71" s="188"/>
      <c r="N71" s="188"/>
    </row>
    <row r="72" spans="1:16" s="17" customFormat="1" ht="15.6">
      <c r="A72" s="407" t="s">
        <v>20</v>
      </c>
      <c r="B72" s="344" t="s">
        <v>21</v>
      </c>
      <c r="C72" s="344" t="s">
        <v>18</v>
      </c>
      <c r="D72" s="344" t="s">
        <v>22</v>
      </c>
      <c r="E72" s="344" t="s">
        <v>7</v>
      </c>
      <c r="F72" s="344" t="s">
        <v>13</v>
      </c>
      <c r="G72" s="344" t="s">
        <v>16</v>
      </c>
      <c r="H72" s="344" t="s">
        <v>23</v>
      </c>
      <c r="I72" s="344" t="s">
        <v>24</v>
      </c>
      <c r="J72" s="344" t="s">
        <v>25</v>
      </c>
      <c r="K72" s="344" t="s">
        <v>26</v>
      </c>
      <c r="L72" s="344" t="s">
        <v>27</v>
      </c>
      <c r="M72" s="344" t="s">
        <v>28</v>
      </c>
      <c r="N72" s="344" t="s">
        <v>11</v>
      </c>
    </row>
    <row r="73" spans="1:16" s="17" customFormat="1" ht="15.6">
      <c r="A73" s="381" t="s">
        <v>1073</v>
      </c>
      <c r="B73" s="350">
        <v>0.28000000000000003</v>
      </c>
      <c r="C73" s="188" t="s">
        <v>37</v>
      </c>
      <c r="D73" s="408" t="s">
        <v>2</v>
      </c>
      <c r="E73" s="188" t="s">
        <v>29</v>
      </c>
      <c r="F73" s="37" t="s">
        <v>14</v>
      </c>
      <c r="G73" s="188" t="s">
        <v>30</v>
      </c>
      <c r="H73" s="188">
        <v>1</v>
      </c>
      <c r="I73" s="358">
        <f>B73</f>
        <v>0.28000000000000003</v>
      </c>
      <c r="J73" s="188" t="s">
        <v>31</v>
      </c>
      <c r="K73" s="188" t="s">
        <v>31</v>
      </c>
      <c r="L73" s="188" t="s">
        <v>31</v>
      </c>
      <c r="M73" s="188" t="s">
        <v>31</v>
      </c>
      <c r="N73" s="188"/>
      <c r="O73" s="180"/>
      <c r="P73" s="423"/>
    </row>
    <row r="74" spans="1:16" s="17" customFormat="1" ht="15.6">
      <c r="A74" s="112" t="s">
        <v>703</v>
      </c>
      <c r="B74" s="350">
        <v>0.28000000000000003</v>
      </c>
      <c r="C74" s="188" t="s">
        <v>37</v>
      </c>
      <c r="D74" s="188" t="s">
        <v>40</v>
      </c>
      <c r="E74" s="188" t="s">
        <v>29</v>
      </c>
      <c r="F74" s="37" t="s">
        <v>59</v>
      </c>
      <c r="G74" s="188" t="s">
        <v>33</v>
      </c>
      <c r="H74" s="188">
        <v>1</v>
      </c>
      <c r="I74" s="358">
        <f t="shared" ref="I74:I75" si="7">B74</f>
        <v>0.28000000000000003</v>
      </c>
      <c r="J74" s="188" t="s">
        <v>31</v>
      </c>
      <c r="K74" s="188" t="s">
        <v>31</v>
      </c>
      <c r="L74" s="188" t="s">
        <v>31</v>
      </c>
      <c r="M74" s="188" t="s">
        <v>31</v>
      </c>
      <c r="N74" s="188"/>
      <c r="O74" s="180"/>
      <c r="P74" s="423"/>
    </row>
    <row r="75" spans="1:16" s="17" customFormat="1" ht="15.6">
      <c r="A75" s="112" t="s">
        <v>876</v>
      </c>
      <c r="B75" s="350">
        <v>0.28000000000000003</v>
      </c>
      <c r="C75" s="188" t="s">
        <v>37</v>
      </c>
      <c r="D75" s="188" t="s">
        <v>40</v>
      </c>
      <c r="E75" s="188" t="s">
        <v>29</v>
      </c>
      <c r="F75" s="37" t="s">
        <v>59</v>
      </c>
      <c r="G75" s="188" t="s">
        <v>33</v>
      </c>
      <c r="H75" s="188">
        <v>1</v>
      </c>
      <c r="I75" s="358">
        <f t="shared" si="7"/>
        <v>0.28000000000000003</v>
      </c>
      <c r="J75" s="188" t="s">
        <v>31</v>
      </c>
      <c r="K75" s="188" t="s">
        <v>31</v>
      </c>
      <c r="L75" s="188" t="s">
        <v>31</v>
      </c>
      <c r="M75" s="188" t="s">
        <v>31</v>
      </c>
      <c r="N75" s="188"/>
      <c r="O75" s="180"/>
      <c r="P75" s="423"/>
    </row>
    <row r="76" spans="1:16" s="422" customFormat="1" ht="15.6">
      <c r="A76" s="370" t="s">
        <v>5</v>
      </c>
      <c r="B76" s="371" t="s">
        <v>1077</v>
      </c>
      <c r="C76" s="372"/>
      <c r="D76" s="353"/>
      <c r="E76" s="353"/>
      <c r="F76" s="353"/>
      <c r="G76" s="353"/>
      <c r="H76" s="353"/>
      <c r="I76" s="353"/>
      <c r="J76" s="353"/>
      <c r="K76" s="353"/>
      <c r="L76" s="353"/>
      <c r="M76" s="353"/>
      <c r="N76" s="353"/>
    </row>
    <row r="77" spans="1:16" s="17" customFormat="1" ht="15.6">
      <c r="A77" s="346" t="s">
        <v>7</v>
      </c>
      <c r="B77" s="188" t="s">
        <v>786</v>
      </c>
      <c r="C77" s="345"/>
      <c r="D77" s="188"/>
      <c r="E77" s="188"/>
      <c r="F77" s="188"/>
      <c r="G77" s="188"/>
      <c r="H77" s="188"/>
      <c r="I77" s="188"/>
      <c r="J77" s="188"/>
      <c r="K77" s="188"/>
      <c r="L77" s="188"/>
      <c r="M77" s="188"/>
      <c r="N77" s="188"/>
    </row>
    <row r="78" spans="1:16" s="17" customFormat="1" ht="15.6">
      <c r="A78" s="424" t="s">
        <v>9</v>
      </c>
      <c r="B78" s="188" t="s">
        <v>1078</v>
      </c>
      <c r="C78" s="345"/>
      <c r="D78" s="188"/>
      <c r="E78" s="188"/>
      <c r="F78" s="188"/>
      <c r="G78" s="188"/>
      <c r="H78" s="188"/>
      <c r="I78" s="188"/>
      <c r="J78" s="188"/>
      <c r="K78" s="188"/>
      <c r="L78" s="188"/>
      <c r="M78" s="188"/>
      <c r="N78" s="188"/>
    </row>
    <row r="79" spans="1:16" s="17" customFormat="1" ht="15.75" customHeight="1">
      <c r="A79" s="346" t="s">
        <v>11</v>
      </c>
      <c r="B79" s="347" t="s">
        <v>796</v>
      </c>
      <c r="C79" s="188"/>
      <c r="D79" s="188"/>
      <c r="E79" s="188"/>
      <c r="F79" s="188"/>
      <c r="G79" s="188"/>
      <c r="H79" s="188"/>
      <c r="I79" s="188"/>
      <c r="J79" s="188"/>
      <c r="K79" s="188"/>
      <c r="L79" s="188"/>
      <c r="M79" s="188"/>
      <c r="N79" s="188"/>
    </row>
    <row r="80" spans="1:16" s="17" customFormat="1" ht="15.6">
      <c r="A80" s="346" t="s">
        <v>13</v>
      </c>
      <c r="B80" s="188" t="s">
        <v>14</v>
      </c>
      <c r="C80" s="188"/>
      <c r="D80" s="188"/>
      <c r="E80" s="188"/>
      <c r="F80" s="188"/>
      <c r="G80" s="188"/>
      <c r="H80" s="188"/>
      <c r="I80" s="188"/>
      <c r="J80" s="188"/>
      <c r="K80" s="188"/>
      <c r="L80" s="188"/>
      <c r="M80" s="188"/>
      <c r="N80" s="188"/>
    </row>
    <row r="81" spans="1:19" s="17" customFormat="1" ht="15.6">
      <c r="A81" s="346" t="s">
        <v>15</v>
      </c>
      <c r="B81" s="425">
        <f>B86</f>
        <v>4.9400000000000004</v>
      </c>
      <c r="C81" s="188"/>
      <c r="D81" s="188"/>
      <c r="E81" s="188"/>
      <c r="F81" s="188"/>
      <c r="G81" s="188"/>
      <c r="H81" s="188"/>
      <c r="I81" s="188"/>
      <c r="J81" s="188"/>
      <c r="K81" s="188"/>
      <c r="L81" s="188"/>
      <c r="M81" s="188"/>
      <c r="N81" s="188"/>
    </row>
    <row r="82" spans="1:19" s="17" customFormat="1" ht="15.6">
      <c r="A82" s="346" t="s">
        <v>16</v>
      </c>
      <c r="B82" s="188" t="s">
        <v>17</v>
      </c>
      <c r="C82" s="188"/>
      <c r="D82" s="188"/>
      <c r="E82" s="188"/>
      <c r="F82" s="188"/>
      <c r="G82" s="188"/>
      <c r="H82" s="188"/>
      <c r="I82" s="188"/>
      <c r="J82" s="188"/>
      <c r="K82" s="188"/>
      <c r="L82" s="188"/>
      <c r="M82" s="188"/>
      <c r="N82" s="188"/>
    </row>
    <row r="83" spans="1:19" s="17" customFormat="1" ht="15.6">
      <c r="A83" s="346" t="s">
        <v>18</v>
      </c>
      <c r="B83" s="188" t="s">
        <v>37</v>
      </c>
      <c r="C83" s="188"/>
      <c r="D83" s="188"/>
      <c r="E83" s="188"/>
      <c r="F83" s="188"/>
      <c r="G83" s="188"/>
      <c r="H83" s="188"/>
      <c r="I83" s="188"/>
      <c r="J83" s="188"/>
      <c r="K83" s="188"/>
      <c r="L83" s="188"/>
      <c r="M83" s="188"/>
      <c r="N83" s="188"/>
      <c r="S83" s="426"/>
    </row>
    <row r="84" spans="1:19" s="17" customFormat="1" ht="15.6">
      <c r="A84" s="343" t="s">
        <v>19</v>
      </c>
      <c r="B84" s="188"/>
      <c r="C84" s="188"/>
      <c r="D84" s="188"/>
      <c r="E84" s="188"/>
      <c r="F84" s="188"/>
      <c r="G84" s="188"/>
      <c r="H84" s="188"/>
      <c r="I84" s="188"/>
      <c r="J84" s="188"/>
      <c r="K84" s="188"/>
      <c r="L84" s="188"/>
      <c r="M84" s="188"/>
      <c r="N84" s="188"/>
    </row>
    <row r="85" spans="1:19" s="17" customFormat="1" ht="15.6">
      <c r="A85" s="344" t="s">
        <v>20</v>
      </c>
      <c r="B85" s="344" t="s">
        <v>21</v>
      </c>
      <c r="C85" s="344" t="s">
        <v>18</v>
      </c>
      <c r="D85" s="344" t="s">
        <v>22</v>
      </c>
      <c r="E85" s="344" t="s">
        <v>7</v>
      </c>
      <c r="F85" s="344" t="s">
        <v>13</v>
      </c>
      <c r="G85" s="344" t="s">
        <v>16</v>
      </c>
      <c r="H85" s="344" t="s">
        <v>23</v>
      </c>
      <c r="I85" s="344" t="s">
        <v>24</v>
      </c>
      <c r="J85" s="344" t="s">
        <v>25</v>
      </c>
      <c r="K85" s="344" t="s">
        <v>26</v>
      </c>
      <c r="L85" s="344" t="s">
        <v>27</v>
      </c>
      <c r="M85" s="344" t="s">
        <v>28</v>
      </c>
      <c r="N85" s="344" t="s">
        <v>11</v>
      </c>
    </row>
    <row r="86" spans="1:19" s="17" customFormat="1" ht="15.6">
      <c r="A86" s="188" t="s">
        <v>1077</v>
      </c>
      <c r="B86" s="358">
        <v>4.9400000000000004</v>
      </c>
      <c r="C86" s="188" t="s">
        <v>37</v>
      </c>
      <c r="D86" s="408" t="s">
        <v>2</v>
      </c>
      <c r="E86" s="188" t="s">
        <v>29</v>
      </c>
      <c r="F86" s="188" t="s">
        <v>14</v>
      </c>
      <c r="G86" s="188" t="s">
        <v>879</v>
      </c>
      <c r="H86" s="188">
        <v>1</v>
      </c>
      <c r="I86" s="358">
        <f>B86</f>
        <v>4.9400000000000004</v>
      </c>
      <c r="J86" s="188" t="s">
        <v>31</v>
      </c>
      <c r="K86" s="188" t="s">
        <v>31</v>
      </c>
      <c r="L86" s="188" t="s">
        <v>31</v>
      </c>
      <c r="M86" s="188" t="s">
        <v>31</v>
      </c>
      <c r="N86" s="188"/>
      <c r="O86" s="180"/>
      <c r="P86" s="423"/>
    </row>
    <row r="87" spans="1:19" s="17" customFormat="1" ht="15.6">
      <c r="A87" s="88" t="s">
        <v>653</v>
      </c>
      <c r="B87" s="358">
        <v>4.9400000000000004</v>
      </c>
      <c r="C87" s="188" t="s">
        <v>37</v>
      </c>
      <c r="D87" s="188" t="s">
        <v>40</v>
      </c>
      <c r="E87" s="188" t="s">
        <v>29</v>
      </c>
      <c r="F87" s="37" t="s">
        <v>59</v>
      </c>
      <c r="G87" s="188" t="s">
        <v>33</v>
      </c>
      <c r="H87" s="188">
        <v>1</v>
      </c>
      <c r="I87" s="358">
        <f t="shared" ref="I87:I89" si="8">B87</f>
        <v>4.9400000000000004</v>
      </c>
      <c r="J87" s="188" t="s">
        <v>31</v>
      </c>
      <c r="K87" s="188" t="s">
        <v>31</v>
      </c>
      <c r="L87" s="188" t="s">
        <v>31</v>
      </c>
      <c r="M87" s="188" t="s">
        <v>31</v>
      </c>
      <c r="N87" s="188"/>
      <c r="O87" s="180"/>
      <c r="P87" s="423"/>
    </row>
    <row r="88" spans="1:19" s="17" customFormat="1" ht="15.6">
      <c r="A88" s="88" t="s">
        <v>624</v>
      </c>
      <c r="B88" s="358">
        <v>4.9400000000000004</v>
      </c>
      <c r="C88" s="188" t="s">
        <v>37</v>
      </c>
      <c r="D88" s="188" t="s">
        <v>40</v>
      </c>
      <c r="E88" s="188" t="s">
        <v>29</v>
      </c>
      <c r="F88" s="37" t="s">
        <v>59</v>
      </c>
      <c r="G88" s="188" t="s">
        <v>33</v>
      </c>
      <c r="H88" s="188">
        <v>1</v>
      </c>
      <c r="I88" s="358">
        <f t="shared" si="8"/>
        <v>4.9400000000000004</v>
      </c>
      <c r="J88" s="188" t="s">
        <v>31</v>
      </c>
      <c r="K88" s="188" t="s">
        <v>31</v>
      </c>
      <c r="L88" s="188" t="s">
        <v>31</v>
      </c>
      <c r="M88" s="188" t="s">
        <v>31</v>
      </c>
      <c r="N88" s="188"/>
      <c r="O88" s="180"/>
      <c r="P88" s="423"/>
    </row>
    <row r="89" spans="1:19" s="17" customFormat="1" ht="15.6">
      <c r="A89" s="88" t="s">
        <v>880</v>
      </c>
      <c r="B89" s="358">
        <v>4.9400000000000004</v>
      </c>
      <c r="C89" s="188" t="s">
        <v>37</v>
      </c>
      <c r="D89" s="188" t="s">
        <v>40</v>
      </c>
      <c r="E89" s="188" t="s">
        <v>29</v>
      </c>
      <c r="F89" s="37" t="s">
        <v>35</v>
      </c>
      <c r="G89" s="188" t="s">
        <v>33</v>
      </c>
      <c r="H89" s="188">
        <v>1</v>
      </c>
      <c r="I89" s="358">
        <f t="shared" si="8"/>
        <v>4.9400000000000004</v>
      </c>
      <c r="J89" s="188" t="s">
        <v>31</v>
      </c>
      <c r="K89" s="188" t="s">
        <v>31</v>
      </c>
      <c r="L89" s="188" t="s">
        <v>31</v>
      </c>
      <c r="M89" s="188" t="s">
        <v>31</v>
      </c>
      <c r="N89" s="188"/>
      <c r="O89" s="180"/>
      <c r="P89" s="423"/>
    </row>
    <row r="90" spans="1:19" s="17" customFormat="1" ht="15.6">
      <c r="A90" s="370" t="s">
        <v>5</v>
      </c>
      <c r="B90" s="371" t="s">
        <v>1063</v>
      </c>
      <c r="C90" s="372"/>
      <c r="D90" s="353"/>
      <c r="E90" s="353"/>
      <c r="F90" s="353"/>
      <c r="G90" s="353"/>
      <c r="H90" s="353"/>
      <c r="I90" s="353"/>
      <c r="J90" s="353"/>
      <c r="K90" s="353"/>
      <c r="L90" s="353"/>
      <c r="M90" s="353"/>
      <c r="N90" s="188"/>
    </row>
    <row r="91" spans="1:19" s="17" customFormat="1" ht="15.6">
      <c r="A91" s="346" t="s">
        <v>7</v>
      </c>
      <c r="B91" s="188" t="s">
        <v>786</v>
      </c>
      <c r="C91" s="345"/>
      <c r="D91" s="188"/>
      <c r="E91" s="188"/>
      <c r="F91" s="188"/>
      <c r="G91" s="188"/>
      <c r="H91" s="188"/>
      <c r="I91" s="188"/>
      <c r="J91" s="188"/>
      <c r="K91" s="188"/>
      <c r="L91" s="188"/>
      <c r="M91" s="188"/>
      <c r="N91" s="188"/>
    </row>
    <row r="92" spans="1:19" s="17" customFormat="1" ht="15.6">
      <c r="A92" s="346" t="s">
        <v>9</v>
      </c>
      <c r="B92" s="381" t="s">
        <v>1079</v>
      </c>
      <c r="C92" s="345"/>
      <c r="D92" s="188"/>
      <c r="E92" s="188"/>
      <c r="F92" s="188"/>
      <c r="G92" s="188"/>
      <c r="H92" s="188"/>
      <c r="I92" s="188"/>
      <c r="J92" s="188"/>
      <c r="K92" s="188"/>
      <c r="L92" s="188"/>
      <c r="M92" s="188"/>
      <c r="N92" s="188"/>
    </row>
    <row r="93" spans="1:19" s="17" customFormat="1" ht="15.6">
      <c r="A93" s="346" t="s">
        <v>11</v>
      </c>
      <c r="B93" s="347" t="s">
        <v>788</v>
      </c>
      <c r="C93" s="188"/>
      <c r="D93" s="188"/>
      <c r="E93" s="188"/>
      <c r="F93" s="188"/>
      <c r="G93" s="188"/>
      <c r="H93" s="188"/>
      <c r="I93" s="188"/>
      <c r="J93" s="188"/>
      <c r="K93" s="188"/>
      <c r="L93" s="188"/>
      <c r="M93" s="188"/>
      <c r="N93" s="188"/>
    </row>
    <row r="94" spans="1:19" s="17" customFormat="1" ht="15.6">
      <c r="A94" s="346" t="s">
        <v>13</v>
      </c>
      <c r="B94" s="37" t="s">
        <v>14</v>
      </c>
      <c r="C94" s="188"/>
      <c r="D94" s="188"/>
      <c r="E94" s="188"/>
      <c r="F94" s="188"/>
      <c r="G94" s="188"/>
      <c r="H94" s="188"/>
      <c r="I94" s="188"/>
      <c r="J94" s="188"/>
      <c r="K94" s="188"/>
      <c r="L94" s="188"/>
      <c r="M94" s="188"/>
      <c r="N94" s="188"/>
    </row>
    <row r="95" spans="1:19" s="17" customFormat="1" ht="15.6">
      <c r="A95" s="346" t="s">
        <v>15</v>
      </c>
      <c r="B95" s="188">
        <f>B100</f>
        <v>4.9400000000000004</v>
      </c>
      <c r="C95" s="188"/>
      <c r="D95" s="188"/>
      <c r="E95" s="188"/>
      <c r="F95" s="188"/>
      <c r="G95" s="188"/>
      <c r="H95" s="188"/>
      <c r="I95" s="188"/>
      <c r="J95" s="188"/>
      <c r="K95" s="188"/>
      <c r="L95" s="188"/>
      <c r="M95" s="188"/>
      <c r="N95" s="188"/>
    </row>
    <row r="96" spans="1:19" s="17" customFormat="1" ht="15.6">
      <c r="A96" s="346" t="s">
        <v>16</v>
      </c>
      <c r="B96" s="188" t="s">
        <v>17</v>
      </c>
      <c r="C96" s="188"/>
      <c r="D96" s="188"/>
      <c r="E96" s="188"/>
      <c r="F96" s="188"/>
      <c r="G96" s="188"/>
      <c r="H96" s="188"/>
      <c r="I96" s="188"/>
      <c r="J96" s="188"/>
      <c r="K96" s="188"/>
      <c r="L96" s="188"/>
      <c r="M96" s="188"/>
      <c r="N96" s="188"/>
    </row>
    <row r="97" spans="1:14" s="17" customFormat="1" ht="15.6">
      <c r="A97" s="346" t="s">
        <v>18</v>
      </c>
      <c r="B97" s="188" t="s">
        <v>37</v>
      </c>
      <c r="C97" s="188"/>
      <c r="D97" s="188"/>
      <c r="E97" s="188"/>
      <c r="F97" s="188"/>
      <c r="G97" s="188"/>
      <c r="H97" s="188"/>
      <c r="I97" s="188"/>
      <c r="J97" s="188"/>
      <c r="K97" s="188"/>
      <c r="L97" s="188"/>
      <c r="M97" s="188"/>
      <c r="N97" s="188"/>
    </row>
    <row r="98" spans="1:14" s="17" customFormat="1" ht="15.6">
      <c r="A98" s="343" t="s">
        <v>19</v>
      </c>
      <c r="B98" s="188"/>
      <c r="C98" s="188"/>
      <c r="D98" s="188"/>
      <c r="E98" s="188"/>
      <c r="F98" s="188"/>
      <c r="G98" s="188"/>
      <c r="H98" s="188"/>
      <c r="I98" s="188"/>
      <c r="J98" s="188"/>
      <c r="K98" s="188"/>
      <c r="L98" s="188"/>
      <c r="M98" s="188"/>
      <c r="N98" s="188"/>
    </row>
    <row r="99" spans="1:14" s="17" customFormat="1" ht="15.6">
      <c r="A99" s="343" t="s">
        <v>20</v>
      </c>
      <c r="B99" s="344" t="s">
        <v>21</v>
      </c>
      <c r="C99" s="344" t="s">
        <v>18</v>
      </c>
      <c r="D99" s="344" t="s">
        <v>22</v>
      </c>
      <c r="E99" s="344" t="s">
        <v>7</v>
      </c>
      <c r="F99" s="344" t="s">
        <v>13</v>
      </c>
      <c r="G99" s="344" t="s">
        <v>16</v>
      </c>
      <c r="H99" s="344" t="s">
        <v>23</v>
      </c>
      <c r="I99" s="344" t="s">
        <v>24</v>
      </c>
      <c r="J99" s="344" t="s">
        <v>25</v>
      </c>
      <c r="K99" s="344" t="s">
        <v>26</v>
      </c>
      <c r="L99" s="344" t="s">
        <v>27</v>
      </c>
      <c r="M99" s="344" t="s">
        <v>28</v>
      </c>
      <c r="N99" s="344" t="s">
        <v>11</v>
      </c>
    </row>
    <row r="100" spans="1:14" s="17" customFormat="1" ht="15.6">
      <c r="A100" s="192" t="s">
        <v>1063</v>
      </c>
      <c r="B100" s="480">
        <f>B81</f>
        <v>4.9400000000000004</v>
      </c>
      <c r="C100" s="188" t="s">
        <v>37</v>
      </c>
      <c r="D100" s="188" t="s">
        <v>2</v>
      </c>
      <c r="E100" s="188" t="s">
        <v>29</v>
      </c>
      <c r="F100" s="37" t="s">
        <v>14</v>
      </c>
      <c r="G100" s="188" t="s">
        <v>30</v>
      </c>
      <c r="H100" s="188">
        <v>1</v>
      </c>
      <c r="I100" s="188">
        <f>B100</f>
        <v>4.9400000000000004</v>
      </c>
      <c r="J100" s="188" t="s">
        <v>31</v>
      </c>
      <c r="K100" s="188" t="s">
        <v>31</v>
      </c>
      <c r="L100" s="188" t="s">
        <v>31</v>
      </c>
      <c r="M100" s="188" t="s">
        <v>31</v>
      </c>
      <c r="N100" s="188"/>
    </row>
    <row r="101" spans="1:14" s="17" customFormat="1" ht="15.6">
      <c r="A101" s="371" t="s">
        <v>1077</v>
      </c>
      <c r="B101" s="480">
        <f>B81</f>
        <v>4.9400000000000004</v>
      </c>
      <c r="C101" s="188" t="s">
        <v>37</v>
      </c>
      <c r="D101" s="188" t="s">
        <v>2</v>
      </c>
      <c r="E101" s="188" t="s">
        <v>29</v>
      </c>
      <c r="F101" s="37" t="s">
        <v>14</v>
      </c>
      <c r="G101" s="188" t="s">
        <v>33</v>
      </c>
      <c r="H101" s="188">
        <v>1</v>
      </c>
      <c r="I101" s="188">
        <f>B101</f>
        <v>4.9400000000000004</v>
      </c>
      <c r="J101" s="188" t="s">
        <v>31</v>
      </c>
      <c r="K101" s="188" t="s">
        <v>31</v>
      </c>
      <c r="L101" s="188" t="s">
        <v>31</v>
      </c>
      <c r="M101" s="188" t="s">
        <v>31</v>
      </c>
      <c r="N101" s="188"/>
    </row>
    <row r="102" spans="1:14" s="17" customFormat="1" ht="15.6">
      <c r="A102" s="130" t="s">
        <v>882</v>
      </c>
      <c r="B102" s="188">
        <v>2.5000000000000001E-2</v>
      </c>
      <c r="C102" s="188" t="s">
        <v>37</v>
      </c>
      <c r="D102" s="188" t="s">
        <v>40</v>
      </c>
      <c r="E102" s="188" t="s">
        <v>29</v>
      </c>
      <c r="F102" s="37" t="s">
        <v>82</v>
      </c>
      <c r="G102" s="188" t="s">
        <v>33</v>
      </c>
      <c r="H102" s="188">
        <v>1</v>
      </c>
      <c r="I102" s="188">
        <f t="shared" ref="I102:I104" si="9">B102</f>
        <v>2.5000000000000001E-2</v>
      </c>
      <c r="J102" s="188" t="s">
        <v>31</v>
      </c>
      <c r="K102" s="188" t="s">
        <v>31</v>
      </c>
      <c r="L102" s="188" t="s">
        <v>31</v>
      </c>
      <c r="M102" s="188" t="s">
        <v>31</v>
      </c>
      <c r="N102" s="188"/>
    </row>
    <row r="103" spans="1:14" s="17" customFormat="1" ht="15.6">
      <c r="A103" s="130" t="s">
        <v>883</v>
      </c>
      <c r="B103" s="188">
        <v>0.56999999999999995</v>
      </c>
      <c r="C103" s="188" t="s">
        <v>609</v>
      </c>
      <c r="D103" s="188" t="s">
        <v>40</v>
      </c>
      <c r="E103" s="188" t="s">
        <v>29</v>
      </c>
      <c r="F103" s="37" t="s">
        <v>59</v>
      </c>
      <c r="G103" s="188" t="s">
        <v>33</v>
      </c>
      <c r="H103" s="188">
        <v>1</v>
      </c>
      <c r="I103" s="188">
        <f t="shared" si="9"/>
        <v>0.56999999999999995</v>
      </c>
      <c r="J103" s="188" t="s">
        <v>31</v>
      </c>
      <c r="K103" s="188" t="s">
        <v>31</v>
      </c>
      <c r="L103" s="188" t="s">
        <v>31</v>
      </c>
      <c r="M103" s="188" t="s">
        <v>31</v>
      </c>
      <c r="N103" s="188"/>
    </row>
    <row r="104" spans="1:14" s="17" customFormat="1" ht="15.6">
      <c r="A104" s="130" t="s">
        <v>599</v>
      </c>
      <c r="B104" s="188">
        <v>2.5000000000000001E-2</v>
      </c>
      <c r="C104" s="188" t="s">
        <v>37</v>
      </c>
      <c r="D104" s="188" t="s">
        <v>40</v>
      </c>
      <c r="E104" s="188" t="s">
        <v>29</v>
      </c>
      <c r="F104" s="37" t="s">
        <v>59</v>
      </c>
      <c r="G104" s="188" t="s">
        <v>33</v>
      </c>
      <c r="H104" s="188">
        <v>1</v>
      </c>
      <c r="I104" s="188">
        <f t="shared" si="9"/>
        <v>2.5000000000000001E-2</v>
      </c>
      <c r="J104" s="188" t="s">
        <v>31</v>
      </c>
      <c r="K104" s="188" t="s">
        <v>31</v>
      </c>
      <c r="L104" s="188" t="s">
        <v>31</v>
      </c>
      <c r="M104" s="188" t="s">
        <v>31</v>
      </c>
      <c r="N104" s="188"/>
    </row>
  </sheetData>
  <pageMargins left="0.7" right="0.7" top="0.75" bottom="0.75" header="0.3" footer="0.3"/>
  <pageSetup paperSize="9"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11310-BA06-49E0-B5E6-20425F340F1B}">
  <sheetPr>
    <tabColor theme="7"/>
  </sheetPr>
  <dimension ref="A1:U47"/>
  <sheetViews>
    <sheetView topLeftCell="A6" zoomScale="85" zoomScaleNormal="85" workbookViewId="0">
      <selection activeCell="D60" sqref="D60"/>
    </sheetView>
  </sheetViews>
  <sheetFormatPr defaultColWidth="9.140625" defaultRowHeight="12.95"/>
  <cols>
    <col min="1" max="1" width="68.7109375" style="188" bestFit="1" customWidth="1"/>
    <col min="2" max="2" width="13.5703125" style="188" customWidth="1"/>
    <col min="3" max="3" width="9.140625" style="188"/>
    <col min="4" max="4" width="23.42578125" style="188" customWidth="1"/>
    <col min="5" max="6" width="9.140625" style="188"/>
    <col min="7" max="7" width="12.7109375" style="188" customWidth="1"/>
    <col min="8" max="16384" width="9.140625" style="188"/>
  </cols>
  <sheetData>
    <row r="1" spans="1:21">
      <c r="A1" s="188" t="s">
        <v>0</v>
      </c>
      <c r="B1" s="188">
        <v>13</v>
      </c>
    </row>
    <row r="2" spans="1:21" s="353" customFormat="1">
      <c r="A2" s="370" t="s">
        <v>5</v>
      </c>
      <c r="B2" s="371" t="s">
        <v>1062</v>
      </c>
    </row>
    <row r="3" spans="1:21">
      <c r="A3" s="346" t="s">
        <v>7</v>
      </c>
      <c r="B3" s="188" t="s">
        <v>786</v>
      </c>
      <c r="C3" s="345"/>
    </row>
    <row r="4" spans="1:21">
      <c r="A4" s="424" t="s">
        <v>9</v>
      </c>
      <c r="B4" s="188" t="s">
        <v>1080</v>
      </c>
      <c r="C4" s="345"/>
    </row>
    <row r="5" spans="1:21" ht="15.75" customHeight="1">
      <c r="A5" s="346" t="s">
        <v>11</v>
      </c>
      <c r="B5" s="347" t="s">
        <v>796</v>
      </c>
    </row>
    <row r="6" spans="1:21">
      <c r="A6" s="346" t="s">
        <v>13</v>
      </c>
      <c r="B6" s="188" t="s">
        <v>14</v>
      </c>
    </row>
    <row r="7" spans="1:21">
      <c r="A7" s="346" t="s">
        <v>15</v>
      </c>
      <c r="B7" s="415">
        <f>B12</f>
        <v>0.03</v>
      </c>
    </row>
    <row r="8" spans="1:21">
      <c r="A8" s="346" t="s">
        <v>16</v>
      </c>
      <c r="B8" s="188" t="s">
        <v>17</v>
      </c>
      <c r="R8" s="344" t="s">
        <v>885</v>
      </c>
    </row>
    <row r="9" spans="1:21">
      <c r="A9" s="346" t="s">
        <v>18</v>
      </c>
      <c r="B9" s="188" t="s">
        <v>37</v>
      </c>
      <c r="R9" s="188" t="s">
        <v>886</v>
      </c>
      <c r="S9" s="188">
        <v>8900</v>
      </c>
      <c r="T9" s="188" t="s">
        <v>887</v>
      </c>
    </row>
    <row r="10" spans="1:21">
      <c r="A10" s="343" t="s">
        <v>19</v>
      </c>
      <c r="R10" s="188" t="s">
        <v>888</v>
      </c>
      <c r="S10" s="188">
        <f>5*10^-6</f>
        <v>4.9999999999999996E-6</v>
      </c>
      <c r="T10" s="188" t="s">
        <v>889</v>
      </c>
    </row>
    <row r="11" spans="1:21">
      <c r="A11" s="344"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R11" s="427" t="s">
        <v>890</v>
      </c>
      <c r="S11" s="428">
        <f>S10*S9</f>
        <v>4.4499999999999998E-2</v>
      </c>
      <c r="T11" s="429" t="s">
        <v>891</v>
      </c>
    </row>
    <row r="12" spans="1:21">
      <c r="A12" s="188" t="s">
        <v>1062</v>
      </c>
      <c r="B12" s="461">
        <f>B45</f>
        <v>0.03</v>
      </c>
      <c r="C12" s="188" t="s">
        <v>37</v>
      </c>
      <c r="D12" s="408" t="s">
        <v>2</v>
      </c>
      <c r="E12" s="188" t="s">
        <v>29</v>
      </c>
      <c r="F12" s="188" t="s">
        <v>14</v>
      </c>
      <c r="G12" s="188" t="s">
        <v>30</v>
      </c>
      <c r="H12" s="188">
        <v>1</v>
      </c>
      <c r="I12" s="188">
        <f>B12</f>
        <v>0.03</v>
      </c>
      <c r="J12" s="188" t="s">
        <v>31</v>
      </c>
      <c r="K12" s="188" t="s">
        <v>31</v>
      </c>
      <c r="L12" s="188" t="s">
        <v>31</v>
      </c>
      <c r="M12" s="188" t="s">
        <v>31</v>
      </c>
      <c r="O12" s="188" t="s">
        <v>1005</v>
      </c>
      <c r="P12" s="450"/>
    </row>
    <row r="13" spans="1:21">
      <c r="A13" s="188" t="s">
        <v>1081</v>
      </c>
      <c r="B13" s="461">
        <f>B28</f>
        <v>0.03</v>
      </c>
      <c r="C13" s="188" t="s">
        <v>609</v>
      </c>
      <c r="D13" s="408" t="s">
        <v>2</v>
      </c>
      <c r="E13" s="188" t="s">
        <v>29</v>
      </c>
      <c r="F13" s="188" t="s">
        <v>14</v>
      </c>
      <c r="G13" s="188" t="s">
        <v>33</v>
      </c>
      <c r="H13" s="188">
        <v>1</v>
      </c>
      <c r="I13" s="188">
        <f>B13</f>
        <v>0.03</v>
      </c>
      <c r="J13" s="188">
        <v>7.2284161474004766E-2</v>
      </c>
      <c r="K13" s="188" t="s">
        <v>31</v>
      </c>
      <c r="L13" s="188" t="s">
        <v>31</v>
      </c>
      <c r="M13" s="188" t="s">
        <v>31</v>
      </c>
      <c r="O13" s="401" t="s">
        <v>892</v>
      </c>
      <c r="P13" s="462">
        <f>B13*100</f>
        <v>3</v>
      </c>
      <c r="R13" s="188" t="s">
        <v>554</v>
      </c>
      <c r="U13" s="410"/>
    </row>
    <row r="14" spans="1:21">
      <c r="A14" s="192" t="s">
        <v>1074</v>
      </c>
      <c r="B14" s="420">
        <f>T14</f>
        <v>3.7824999999999998E-2</v>
      </c>
      <c r="C14" s="188" t="s">
        <v>37</v>
      </c>
      <c r="D14" s="408" t="s">
        <v>2</v>
      </c>
      <c r="E14" s="188" t="s">
        <v>29</v>
      </c>
      <c r="F14" s="37" t="s">
        <v>14</v>
      </c>
      <c r="G14" s="188" t="s">
        <v>33</v>
      </c>
      <c r="H14" s="188">
        <v>1</v>
      </c>
      <c r="I14" s="188">
        <f>B14</f>
        <v>3.7824999999999998E-2</v>
      </c>
      <c r="J14" s="188">
        <v>7.2284161474004766E-2</v>
      </c>
      <c r="K14" s="188" t="s">
        <v>31</v>
      </c>
      <c r="L14" s="188" t="s">
        <v>31</v>
      </c>
      <c r="M14" s="188" t="s">
        <v>31</v>
      </c>
      <c r="O14" s="432"/>
      <c r="P14" s="433"/>
      <c r="R14" s="430">
        <v>0.85</v>
      </c>
      <c r="S14" s="431" t="s">
        <v>610</v>
      </c>
      <c r="T14" s="430">
        <f>R14*S11</f>
        <v>3.7824999999999998E-2</v>
      </c>
      <c r="U14" s="431" t="s">
        <v>241</v>
      </c>
    </row>
    <row r="15" spans="1:21" ht="14.45">
      <c r="A15" s="346" t="s">
        <v>799</v>
      </c>
      <c r="B15" s="188">
        <f>Q15</f>
        <v>6.8</v>
      </c>
      <c r="C15" s="188" t="s">
        <v>37</v>
      </c>
      <c r="D15" s="188" t="s">
        <v>40</v>
      </c>
      <c r="E15" s="188" t="s">
        <v>29</v>
      </c>
      <c r="F15" s="37" t="s">
        <v>74</v>
      </c>
      <c r="G15" s="188" t="s">
        <v>33</v>
      </c>
      <c r="H15" s="188">
        <v>2</v>
      </c>
      <c r="I15" s="188">
        <f t="shared" ref="I15" si="0">LN(B15)</f>
        <v>1.9169226121820611</v>
      </c>
      <c r="J15" s="188">
        <v>7.2284161474004766E-2</v>
      </c>
      <c r="K15" s="188" t="s">
        <v>31</v>
      </c>
      <c r="L15" s="188" t="s">
        <v>31</v>
      </c>
      <c r="M15" s="188" t="s">
        <v>31</v>
      </c>
      <c r="O15" s="401" t="s">
        <v>241</v>
      </c>
      <c r="P15" s="138">
        <v>6.8</v>
      </c>
      <c r="Q15" s="188">
        <f>P15</f>
        <v>6.8</v>
      </c>
    </row>
    <row r="16" spans="1:21" ht="14.45">
      <c r="A16" s="88" t="s">
        <v>874</v>
      </c>
      <c r="B16" s="188">
        <f t="shared" ref="B16:B17" si="1">Q16</f>
        <v>2.9999999999999997E-4</v>
      </c>
      <c r="C16" s="188" t="s">
        <v>37</v>
      </c>
      <c r="D16" s="188" t="s">
        <v>40</v>
      </c>
      <c r="E16" s="188" t="s">
        <v>29</v>
      </c>
      <c r="F16" s="37" t="s">
        <v>59</v>
      </c>
      <c r="G16" s="188" t="s">
        <v>33</v>
      </c>
      <c r="H16" s="188">
        <v>2</v>
      </c>
      <c r="I16" s="188">
        <f>LN(B16)</f>
        <v>-8.1117280833080727</v>
      </c>
      <c r="J16" s="188">
        <v>7.2284161474004766E-2</v>
      </c>
      <c r="K16" s="188" t="s">
        <v>31</v>
      </c>
      <c r="L16" s="188" t="s">
        <v>31</v>
      </c>
      <c r="M16" s="188" t="s">
        <v>31</v>
      </c>
      <c r="O16" s="416" t="s">
        <v>538</v>
      </c>
      <c r="P16" s="141">
        <v>0.3</v>
      </c>
      <c r="Q16" s="188">
        <f>0.001*P16</f>
        <v>2.9999999999999997E-4</v>
      </c>
    </row>
    <row r="17" spans="1:20" ht="14.45">
      <c r="A17" s="88" t="s">
        <v>76</v>
      </c>
      <c r="B17" s="188">
        <f t="shared" si="1"/>
        <v>6.7999999999999996E-3</v>
      </c>
      <c r="C17" s="188" t="s">
        <v>42</v>
      </c>
      <c r="D17" s="188" t="s">
        <v>40</v>
      </c>
      <c r="E17" s="188" t="s">
        <v>29</v>
      </c>
      <c r="F17" s="37" t="s">
        <v>74</v>
      </c>
      <c r="G17" s="188" t="s">
        <v>33</v>
      </c>
      <c r="H17" s="188">
        <v>2</v>
      </c>
      <c r="I17" s="188">
        <f t="shared" ref="I17" si="2">LN(B17)</f>
        <v>-4.9908326668000758</v>
      </c>
      <c r="J17" s="188">
        <v>7.2284161474004766E-2</v>
      </c>
      <c r="K17" s="188" t="s">
        <v>31</v>
      </c>
      <c r="L17" s="188" t="s">
        <v>31</v>
      </c>
      <c r="M17" s="188" t="s">
        <v>31</v>
      </c>
      <c r="O17" s="418" t="s">
        <v>863</v>
      </c>
      <c r="P17" s="142">
        <v>6.8</v>
      </c>
      <c r="Q17" s="188">
        <f>0.001*P17</f>
        <v>6.7999999999999996E-3</v>
      </c>
    </row>
    <row r="18" spans="1:20" s="353" customFormat="1">
      <c r="A18" s="370" t="s">
        <v>5</v>
      </c>
      <c r="B18" s="371" t="s">
        <v>1081</v>
      </c>
    </row>
    <row r="19" spans="1:20">
      <c r="A19" s="346" t="s">
        <v>7</v>
      </c>
      <c r="B19" s="188" t="s">
        <v>786</v>
      </c>
      <c r="C19" s="345"/>
    </row>
    <row r="20" spans="1:20">
      <c r="A20" s="424" t="s">
        <v>9</v>
      </c>
      <c r="B20" s="188" t="s">
        <v>1082</v>
      </c>
      <c r="C20" s="345"/>
    </row>
    <row r="21" spans="1:20" ht="15.75" customHeight="1">
      <c r="A21" s="346" t="s">
        <v>11</v>
      </c>
      <c r="B21" s="347" t="s">
        <v>796</v>
      </c>
    </row>
    <row r="22" spans="1:20">
      <c r="A22" s="346" t="s">
        <v>13</v>
      </c>
      <c r="B22" s="188" t="s">
        <v>14</v>
      </c>
    </row>
    <row r="23" spans="1:20">
      <c r="A23" s="346" t="s">
        <v>15</v>
      </c>
      <c r="B23" s="415">
        <f>B28</f>
        <v>0.03</v>
      </c>
    </row>
    <row r="24" spans="1:20">
      <c r="A24" s="346" t="s">
        <v>16</v>
      </c>
      <c r="B24" s="188" t="s">
        <v>17</v>
      </c>
    </row>
    <row r="25" spans="1:20">
      <c r="A25" s="346" t="s">
        <v>18</v>
      </c>
      <c r="B25" s="188" t="s">
        <v>609</v>
      </c>
    </row>
    <row r="26" spans="1:20">
      <c r="A26" s="343" t="s">
        <v>19</v>
      </c>
    </row>
    <row r="27" spans="1:20">
      <c r="A27" s="344"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c r="T27" s="415"/>
    </row>
    <row r="28" spans="1:20">
      <c r="A28" s="188" t="s">
        <v>1081</v>
      </c>
      <c r="B28" s="415">
        <v>0.03</v>
      </c>
      <c r="C28" s="188" t="s">
        <v>609</v>
      </c>
      <c r="D28" s="408" t="s">
        <v>2</v>
      </c>
      <c r="E28" s="188" t="s">
        <v>29</v>
      </c>
      <c r="F28" s="188" t="s">
        <v>14</v>
      </c>
      <c r="G28" s="188" t="s">
        <v>30</v>
      </c>
      <c r="H28" s="188">
        <v>1</v>
      </c>
      <c r="I28" s="188">
        <f>B28</f>
        <v>0.03</v>
      </c>
      <c r="J28" s="188">
        <v>7.2284161474004766E-2</v>
      </c>
      <c r="K28" s="188" t="s">
        <v>31</v>
      </c>
      <c r="L28" s="188" t="s">
        <v>31</v>
      </c>
      <c r="M28" s="188" t="s">
        <v>31</v>
      </c>
      <c r="O28" s="401" t="s">
        <v>892</v>
      </c>
      <c r="P28" s="414">
        <f>B28*100</f>
        <v>3</v>
      </c>
    </row>
    <row r="29" spans="1:20">
      <c r="A29" s="188" t="s">
        <v>1083</v>
      </c>
      <c r="B29" s="415">
        <v>0.03</v>
      </c>
      <c r="C29" s="188" t="s">
        <v>609</v>
      </c>
      <c r="D29" s="408" t="s">
        <v>2</v>
      </c>
      <c r="E29" s="188" t="s">
        <v>29</v>
      </c>
      <c r="F29" s="188" t="s">
        <v>14</v>
      </c>
      <c r="G29" s="188" t="s">
        <v>33</v>
      </c>
      <c r="H29" s="188">
        <v>1</v>
      </c>
      <c r="I29" s="188">
        <f>B29</f>
        <v>0.03</v>
      </c>
      <c r="J29" s="188">
        <v>7.2284161474004766E-2</v>
      </c>
      <c r="K29" s="188" t="s">
        <v>31</v>
      </c>
      <c r="L29" s="188" t="s">
        <v>31</v>
      </c>
      <c r="M29" s="188" t="s">
        <v>31</v>
      </c>
    </row>
    <row r="30" spans="1:20">
      <c r="A30" s="346" t="s">
        <v>269</v>
      </c>
      <c r="B30" s="350">
        <f>P30</f>
        <v>0.38</v>
      </c>
      <c r="C30" s="188" t="s">
        <v>39</v>
      </c>
      <c r="D30" s="188" t="s">
        <v>40</v>
      </c>
      <c r="E30" s="188" t="s">
        <v>29</v>
      </c>
      <c r="F30" s="37" t="s">
        <v>35</v>
      </c>
      <c r="G30" s="188" t="s">
        <v>33</v>
      </c>
      <c r="H30" s="188">
        <v>2</v>
      </c>
      <c r="I30" s="188">
        <f t="shared" ref="I30:I31" si="3">LN(B30)</f>
        <v>-0.96758402626170559</v>
      </c>
      <c r="J30" s="188">
        <v>7.2284161474004766E-2</v>
      </c>
      <c r="K30" s="188" t="s">
        <v>31</v>
      </c>
      <c r="L30" s="188" t="s">
        <v>31</v>
      </c>
      <c r="M30" s="188" t="s">
        <v>31</v>
      </c>
      <c r="O30" s="401" t="s">
        <v>248</v>
      </c>
      <c r="P30" s="414">
        <v>0.38</v>
      </c>
    </row>
    <row r="31" spans="1:20">
      <c r="A31" s="88" t="s">
        <v>310</v>
      </c>
      <c r="B31" s="188">
        <f>R31</f>
        <v>9.0000000000000011E-3</v>
      </c>
      <c r="C31" s="415" t="s">
        <v>37</v>
      </c>
      <c r="D31" s="188" t="s">
        <v>40</v>
      </c>
      <c r="E31" s="188" t="s">
        <v>29</v>
      </c>
      <c r="F31" s="188" t="s">
        <v>59</v>
      </c>
      <c r="G31" s="188" t="s">
        <v>33</v>
      </c>
      <c r="H31" s="188">
        <v>2</v>
      </c>
      <c r="I31" s="188">
        <f t="shared" si="3"/>
        <v>-4.7105307016459177</v>
      </c>
      <c r="J31" s="188">
        <v>7.2284161474004766E-2</v>
      </c>
      <c r="K31" s="188" t="s">
        <v>31</v>
      </c>
      <c r="L31" s="188" t="s">
        <v>31</v>
      </c>
      <c r="M31" s="188" t="s">
        <v>31</v>
      </c>
      <c r="O31" s="401" t="s">
        <v>580</v>
      </c>
      <c r="P31" s="414">
        <v>9</v>
      </c>
      <c r="Q31" s="188" t="s">
        <v>241</v>
      </c>
      <c r="R31" s="188">
        <f>P31*0.001</f>
        <v>9.0000000000000011E-3</v>
      </c>
    </row>
    <row r="32" spans="1:20">
      <c r="A32" s="112" t="s">
        <v>871</v>
      </c>
      <c r="B32" s="188">
        <f t="shared" ref="B32:B33" si="4">R32</f>
        <v>1.6E-2</v>
      </c>
      <c r="C32" s="188" t="s">
        <v>37</v>
      </c>
      <c r="D32" s="188" t="s">
        <v>40</v>
      </c>
      <c r="E32" s="188" t="s">
        <v>29</v>
      </c>
      <c r="F32" s="37" t="s">
        <v>35</v>
      </c>
      <c r="G32" s="188" t="s">
        <v>33</v>
      </c>
      <c r="H32" s="188">
        <v>2</v>
      </c>
      <c r="I32" s="188">
        <f>LN(B32)</f>
        <v>-4.1351665567423561</v>
      </c>
      <c r="J32" s="188">
        <v>7.2284161474004766E-2</v>
      </c>
      <c r="K32" s="188" t="s">
        <v>31</v>
      </c>
      <c r="L32" s="188" t="s">
        <v>31</v>
      </c>
      <c r="M32" s="188" t="s">
        <v>31</v>
      </c>
      <c r="O32" s="401" t="s">
        <v>580</v>
      </c>
      <c r="P32" s="414">
        <v>16</v>
      </c>
      <c r="Q32" s="188" t="s">
        <v>241</v>
      </c>
      <c r="R32" s="188">
        <f>P32*0.001</f>
        <v>1.6E-2</v>
      </c>
    </row>
    <row r="33" spans="1:20">
      <c r="A33" s="346" t="s">
        <v>799</v>
      </c>
      <c r="B33" s="188">
        <f t="shared" si="4"/>
        <v>14.3</v>
      </c>
      <c r="C33" s="188" t="s">
        <v>37</v>
      </c>
      <c r="D33" s="188" t="s">
        <v>40</v>
      </c>
      <c r="E33" s="188" t="s">
        <v>29</v>
      </c>
      <c r="F33" s="37" t="s">
        <v>74</v>
      </c>
      <c r="G33" s="188" t="s">
        <v>33</v>
      </c>
      <c r="H33" s="188">
        <v>2</v>
      </c>
      <c r="I33" s="188">
        <f t="shared" ref="I33:I34" si="5">LN(B33)</f>
        <v>2.6602595372658615</v>
      </c>
      <c r="J33" s="188">
        <v>7.2284161474004766E-2</v>
      </c>
      <c r="K33" s="188" t="s">
        <v>31</v>
      </c>
      <c r="L33" s="188" t="s">
        <v>31</v>
      </c>
      <c r="M33" s="188" t="s">
        <v>31</v>
      </c>
      <c r="O33" s="401" t="s">
        <v>241</v>
      </c>
      <c r="P33" s="414">
        <v>14.3</v>
      </c>
      <c r="Q33" s="188" t="s">
        <v>241</v>
      </c>
      <c r="R33" s="188">
        <f>P33</f>
        <v>14.3</v>
      </c>
    </row>
    <row r="34" spans="1:20">
      <c r="A34" s="88" t="s">
        <v>76</v>
      </c>
      <c r="B34" s="188">
        <f>R34</f>
        <v>1.43E-2</v>
      </c>
      <c r="C34" s="188" t="s">
        <v>42</v>
      </c>
      <c r="D34" s="188" t="s">
        <v>40</v>
      </c>
      <c r="E34" s="188" t="s">
        <v>29</v>
      </c>
      <c r="F34" s="37" t="s">
        <v>74</v>
      </c>
      <c r="G34" s="188" t="s">
        <v>33</v>
      </c>
      <c r="H34" s="188">
        <v>2</v>
      </c>
      <c r="I34" s="188">
        <f t="shared" si="5"/>
        <v>-4.2474957417162758</v>
      </c>
      <c r="J34" s="188">
        <v>7.2284161474004766E-2</v>
      </c>
      <c r="K34" s="188" t="s">
        <v>31</v>
      </c>
      <c r="L34" s="188" t="s">
        <v>31</v>
      </c>
      <c r="M34" s="188" t="s">
        <v>31</v>
      </c>
      <c r="O34" s="418" t="s">
        <v>863</v>
      </c>
      <c r="P34" s="419">
        <v>14.3</v>
      </c>
      <c r="Q34" s="188" t="s">
        <v>251</v>
      </c>
      <c r="R34" s="188">
        <f>0.001*P34</f>
        <v>1.43E-2</v>
      </c>
    </row>
    <row r="35" spans="1:20" s="353" customFormat="1">
      <c r="A35" s="370" t="s">
        <v>5</v>
      </c>
      <c r="B35" s="371" t="s">
        <v>1083</v>
      </c>
    </row>
    <row r="36" spans="1:20">
      <c r="A36" s="346" t="s">
        <v>7</v>
      </c>
      <c r="B36" s="188" t="s">
        <v>786</v>
      </c>
      <c r="C36" s="345"/>
    </row>
    <row r="37" spans="1:20">
      <c r="A37" s="424" t="s">
        <v>9</v>
      </c>
      <c r="B37" s="188" t="s">
        <v>1084</v>
      </c>
      <c r="C37" s="345"/>
    </row>
    <row r="38" spans="1:20" ht="15.75" customHeight="1">
      <c r="A38" s="346" t="s">
        <v>11</v>
      </c>
      <c r="B38" s="347" t="s">
        <v>796</v>
      </c>
    </row>
    <row r="39" spans="1:20">
      <c r="A39" s="346" t="s">
        <v>13</v>
      </c>
      <c r="B39" s="188" t="s">
        <v>14</v>
      </c>
    </row>
    <row r="40" spans="1:20">
      <c r="A40" s="346" t="s">
        <v>15</v>
      </c>
      <c r="B40" s="415">
        <f>B45</f>
        <v>0.03</v>
      </c>
    </row>
    <row r="41" spans="1:20">
      <c r="A41" s="346" t="s">
        <v>16</v>
      </c>
      <c r="B41" s="188" t="s">
        <v>17</v>
      </c>
    </row>
    <row r="42" spans="1:20">
      <c r="A42" s="346" t="s">
        <v>18</v>
      </c>
      <c r="B42" s="188" t="s">
        <v>609</v>
      </c>
    </row>
    <row r="43" spans="1:20">
      <c r="A43" s="343" t="s">
        <v>19</v>
      </c>
    </row>
    <row r="44" spans="1:20">
      <c r="A44" s="344" t="s">
        <v>20</v>
      </c>
      <c r="B44" s="344" t="s">
        <v>21</v>
      </c>
      <c r="C44" s="344" t="s">
        <v>18</v>
      </c>
      <c r="D44" s="344" t="s">
        <v>22</v>
      </c>
      <c r="E44" s="344" t="s">
        <v>7</v>
      </c>
      <c r="F44" s="344" t="s">
        <v>13</v>
      </c>
      <c r="G44" s="344" t="s">
        <v>16</v>
      </c>
      <c r="H44" s="344" t="s">
        <v>23</v>
      </c>
      <c r="I44" s="344" t="s">
        <v>24</v>
      </c>
      <c r="J44" s="344" t="s">
        <v>25</v>
      </c>
      <c r="K44" s="344" t="s">
        <v>26</v>
      </c>
      <c r="L44" s="344" t="s">
        <v>27</v>
      </c>
      <c r="M44" s="344" t="s">
        <v>28</v>
      </c>
      <c r="N44" s="344" t="s">
        <v>11</v>
      </c>
      <c r="T44" s="415"/>
    </row>
    <row r="45" spans="1:20">
      <c r="A45" s="188" t="s">
        <v>1083</v>
      </c>
      <c r="B45" s="415">
        <f>B29</f>
        <v>0.03</v>
      </c>
      <c r="C45" s="188" t="s">
        <v>609</v>
      </c>
      <c r="D45" s="408" t="s">
        <v>2</v>
      </c>
      <c r="E45" s="188" t="s">
        <v>29</v>
      </c>
      <c r="F45" s="188" t="s">
        <v>14</v>
      </c>
      <c r="G45" s="188" t="s">
        <v>30</v>
      </c>
      <c r="H45" s="188">
        <v>1</v>
      </c>
      <c r="I45" s="188">
        <f>B45</f>
        <v>0.03</v>
      </c>
      <c r="J45" s="188" t="s">
        <v>31</v>
      </c>
      <c r="K45" s="188" t="s">
        <v>31</v>
      </c>
      <c r="L45" s="188" t="s">
        <v>31</v>
      </c>
      <c r="M45" s="188" t="s">
        <v>31</v>
      </c>
      <c r="Q45" s="188" t="s">
        <v>1005</v>
      </c>
    </row>
    <row r="46" spans="1:20" ht="14.45">
      <c r="A46" s="88" t="s">
        <v>897</v>
      </c>
      <c r="B46" s="481">
        <v>0.4</v>
      </c>
      <c r="C46" s="188" t="s">
        <v>37</v>
      </c>
      <c r="D46" s="188" t="s">
        <v>40</v>
      </c>
      <c r="E46" s="188" t="s">
        <v>29</v>
      </c>
      <c r="F46" s="188" t="s">
        <v>82</v>
      </c>
      <c r="G46" s="188" t="s">
        <v>33</v>
      </c>
      <c r="H46" s="188">
        <v>1</v>
      </c>
      <c r="I46" s="188">
        <f>B46</f>
        <v>0.4</v>
      </c>
      <c r="J46" s="188" t="s">
        <v>31</v>
      </c>
      <c r="K46" s="188" t="s">
        <v>31</v>
      </c>
      <c r="L46" s="188" t="s">
        <v>31</v>
      </c>
      <c r="M46" s="188" t="s">
        <v>31</v>
      </c>
    </row>
    <row r="47" spans="1:20" ht="14.45">
      <c r="A47" s="88" t="s">
        <v>898</v>
      </c>
      <c r="B47" s="481">
        <v>0.4</v>
      </c>
      <c r="C47" s="188" t="s">
        <v>37</v>
      </c>
      <c r="D47" s="188" t="s">
        <v>40</v>
      </c>
      <c r="E47" s="188" t="s">
        <v>29</v>
      </c>
      <c r="F47" s="188" t="s">
        <v>59</v>
      </c>
      <c r="G47" s="188" t="s">
        <v>33</v>
      </c>
      <c r="H47" s="188">
        <v>1</v>
      </c>
      <c r="I47" s="188">
        <f>B47</f>
        <v>0.4</v>
      </c>
      <c r="J47" s="188" t="s">
        <v>31</v>
      </c>
      <c r="K47" s="188" t="s">
        <v>31</v>
      </c>
      <c r="L47" s="188" t="s">
        <v>31</v>
      </c>
      <c r="M47" s="188" t="s">
        <v>31</v>
      </c>
    </row>
  </sheetData>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CEAF7-01D0-4082-A89C-6C5CA5028D5F}">
  <sheetPr>
    <tabColor theme="7"/>
  </sheetPr>
  <dimension ref="A1:Y57"/>
  <sheetViews>
    <sheetView topLeftCell="A9" zoomScale="70" zoomScaleNormal="70" workbookViewId="0">
      <selection activeCell="A12" sqref="A12"/>
    </sheetView>
  </sheetViews>
  <sheetFormatPr defaultColWidth="9.140625" defaultRowHeight="12.95"/>
  <cols>
    <col min="1" max="1" width="74" style="188" customWidth="1"/>
    <col min="2" max="4" width="9.140625" style="188"/>
    <col min="5" max="5" width="34.28515625" style="188" customWidth="1"/>
    <col min="6" max="6" width="16.7109375" style="188" customWidth="1"/>
    <col min="7" max="7" width="9.140625" style="188"/>
    <col min="8" max="8" width="14.28515625" style="188" customWidth="1"/>
    <col min="9" max="16384" width="9.140625" style="188"/>
  </cols>
  <sheetData>
    <row r="1" spans="1:21">
      <c r="A1" s="188" t="s">
        <v>0</v>
      </c>
      <c r="B1" s="188">
        <v>14</v>
      </c>
      <c r="R1" s="192"/>
      <c r="S1" s="421"/>
    </row>
    <row r="2" spans="1:21" s="353" customFormat="1">
      <c r="A2" s="370" t="s">
        <v>5</v>
      </c>
      <c r="B2" s="371" t="s">
        <v>1064</v>
      </c>
      <c r="C2" s="371"/>
      <c r="R2" s="436"/>
      <c r="S2" s="437"/>
    </row>
    <row r="3" spans="1:21">
      <c r="A3" s="346" t="s">
        <v>7</v>
      </c>
      <c r="B3" s="188" t="s">
        <v>786</v>
      </c>
      <c r="D3" s="345"/>
      <c r="R3" s="192"/>
      <c r="S3" s="421"/>
    </row>
    <row r="4" spans="1:21">
      <c r="A4" s="424" t="s">
        <v>9</v>
      </c>
      <c r="B4" s="188" t="s">
        <v>1085</v>
      </c>
      <c r="D4" s="345"/>
    </row>
    <row r="5" spans="1:21" ht="15.75" customHeight="1">
      <c r="A5" s="346" t="s">
        <v>11</v>
      </c>
      <c r="B5" s="347" t="s">
        <v>796</v>
      </c>
      <c r="C5" s="347"/>
    </row>
    <row r="6" spans="1:21">
      <c r="A6" s="346" t="s">
        <v>13</v>
      </c>
      <c r="B6" s="188" t="s">
        <v>14</v>
      </c>
    </row>
    <row r="7" spans="1:21">
      <c r="A7" s="346" t="s">
        <v>15</v>
      </c>
      <c r="B7" s="358">
        <f>B48</f>
        <v>6.89</v>
      </c>
      <c r="C7" s="358"/>
    </row>
    <row r="8" spans="1:21">
      <c r="A8" s="346" t="s">
        <v>16</v>
      </c>
      <c r="B8" s="188" t="s">
        <v>17</v>
      </c>
    </row>
    <row r="9" spans="1:21">
      <c r="A9" s="346" t="s">
        <v>18</v>
      </c>
      <c r="B9" s="188" t="s">
        <v>37</v>
      </c>
    </row>
    <row r="10" spans="1:21">
      <c r="A10" s="343" t="s">
        <v>19</v>
      </c>
    </row>
    <row r="11" spans="1:21">
      <c r="A11" s="344" t="s">
        <v>20</v>
      </c>
      <c r="B11" s="344" t="s">
        <v>21</v>
      </c>
      <c r="C11" s="382" t="s">
        <v>217</v>
      </c>
      <c r="D11" s="344" t="s">
        <v>18</v>
      </c>
      <c r="E11" s="344" t="s">
        <v>22</v>
      </c>
      <c r="F11" s="344" t="s">
        <v>7</v>
      </c>
      <c r="G11" s="344" t="s">
        <v>13</v>
      </c>
      <c r="H11" s="344" t="s">
        <v>16</v>
      </c>
      <c r="I11" s="344" t="s">
        <v>23</v>
      </c>
      <c r="J11" s="344" t="s">
        <v>24</v>
      </c>
      <c r="K11" s="344" t="s">
        <v>25</v>
      </c>
      <c r="L11" s="344" t="s">
        <v>26</v>
      </c>
      <c r="M11" s="344" t="s">
        <v>27</v>
      </c>
      <c r="N11" s="344" t="s">
        <v>28</v>
      </c>
      <c r="O11" s="344" t="s">
        <v>11</v>
      </c>
      <c r="U11" s="415"/>
    </row>
    <row r="12" spans="1:21">
      <c r="A12" s="188" t="s">
        <v>1064</v>
      </c>
      <c r="B12" s="358">
        <f>B43</f>
        <v>6.89</v>
      </c>
      <c r="D12" s="188" t="s">
        <v>37</v>
      </c>
      <c r="E12" s="408" t="s">
        <v>2</v>
      </c>
      <c r="F12" s="188" t="s">
        <v>29</v>
      </c>
      <c r="G12" s="188" t="s">
        <v>14</v>
      </c>
      <c r="H12" s="188" t="s">
        <v>30</v>
      </c>
      <c r="I12" s="188">
        <v>1</v>
      </c>
      <c r="J12" s="188">
        <f>B12</f>
        <v>6.89</v>
      </c>
      <c r="K12" s="188" t="s">
        <v>31</v>
      </c>
      <c r="L12" s="188" t="s">
        <v>31</v>
      </c>
      <c r="M12" s="188" t="s">
        <v>31</v>
      </c>
      <c r="N12" s="188" t="s">
        <v>31</v>
      </c>
      <c r="P12" s="192"/>
      <c r="Q12" s="421"/>
    </row>
    <row r="13" spans="1:21">
      <c r="A13" s="188" t="s">
        <v>1086</v>
      </c>
      <c r="B13" s="188">
        <v>1</v>
      </c>
      <c r="D13" s="188" t="s">
        <v>18</v>
      </c>
      <c r="E13" s="408" t="s">
        <v>2</v>
      </c>
      <c r="F13" s="188" t="s">
        <v>29</v>
      </c>
      <c r="G13" s="188" t="s">
        <v>14</v>
      </c>
      <c r="H13" s="188" t="s">
        <v>33</v>
      </c>
      <c r="I13" s="188">
        <v>1</v>
      </c>
      <c r="J13" s="188">
        <f>B13</f>
        <v>1</v>
      </c>
      <c r="K13" s="188" t="s">
        <v>31</v>
      </c>
      <c r="L13" s="188" t="s">
        <v>31</v>
      </c>
      <c r="M13" s="188" t="s">
        <v>31</v>
      </c>
      <c r="N13" s="188" t="s">
        <v>31</v>
      </c>
    </row>
    <row r="14" spans="1:21">
      <c r="A14" s="346" t="s">
        <v>269</v>
      </c>
      <c r="B14" s="350">
        <f>Q14</f>
        <v>0.25</v>
      </c>
      <c r="C14" s="350"/>
      <c r="D14" s="188" t="s">
        <v>39</v>
      </c>
      <c r="E14" s="188" t="s">
        <v>40</v>
      </c>
      <c r="F14" s="188" t="s">
        <v>29</v>
      </c>
      <c r="G14" s="37" t="s">
        <v>35</v>
      </c>
      <c r="H14" s="188" t="s">
        <v>33</v>
      </c>
      <c r="I14" s="188">
        <v>2</v>
      </c>
      <c r="J14" s="188">
        <f t="shared" ref="J14:J18" si="0">LN(B14)</f>
        <v>-1.3862943611198906</v>
      </c>
      <c r="K14" s="464">
        <v>9.6046863561492793E-2</v>
      </c>
      <c r="L14" s="188" t="s">
        <v>31</v>
      </c>
      <c r="M14" s="188" t="s">
        <v>31</v>
      </c>
      <c r="N14" s="188" t="s">
        <v>31</v>
      </c>
      <c r="P14" s="401" t="s">
        <v>248</v>
      </c>
      <c r="Q14" s="414">
        <v>0.25</v>
      </c>
    </row>
    <row r="15" spans="1:21">
      <c r="A15" s="346" t="s">
        <v>269</v>
      </c>
      <c r="B15" s="350">
        <f>Q15</f>
        <v>0.5</v>
      </c>
      <c r="C15" s="350"/>
      <c r="D15" s="188" t="s">
        <v>39</v>
      </c>
      <c r="E15" s="188" t="s">
        <v>40</v>
      </c>
      <c r="F15" s="188" t="s">
        <v>29</v>
      </c>
      <c r="G15" s="37" t="s">
        <v>59</v>
      </c>
      <c r="H15" s="188" t="s">
        <v>33</v>
      </c>
      <c r="I15" s="188">
        <v>2</v>
      </c>
      <c r="J15" s="188">
        <f t="shared" si="0"/>
        <v>-0.69314718055994529</v>
      </c>
      <c r="K15" s="464">
        <v>9.6046863561492793E-2</v>
      </c>
      <c r="L15" s="188" t="s">
        <v>31</v>
      </c>
      <c r="M15" s="188" t="s">
        <v>31</v>
      </c>
      <c r="N15" s="188" t="s">
        <v>31</v>
      </c>
      <c r="P15" s="401" t="s">
        <v>248</v>
      </c>
      <c r="Q15" s="414">
        <v>0.5</v>
      </c>
    </row>
    <row r="16" spans="1:21">
      <c r="A16" s="88" t="s">
        <v>901</v>
      </c>
      <c r="B16" s="188">
        <f>S16</f>
        <v>6.5000000000000002E-2</v>
      </c>
      <c r="D16" s="188" t="s">
        <v>37</v>
      </c>
      <c r="E16" s="188" t="s">
        <v>40</v>
      </c>
      <c r="F16" s="188" t="s">
        <v>29</v>
      </c>
      <c r="G16" s="188" t="s">
        <v>35</v>
      </c>
      <c r="H16" s="188" t="s">
        <v>33</v>
      </c>
      <c r="I16" s="188">
        <v>2</v>
      </c>
      <c r="J16" s="188">
        <f t="shared" si="0"/>
        <v>-2.7333680090865</v>
      </c>
      <c r="K16" s="464">
        <v>9.6046863561492793E-2</v>
      </c>
      <c r="P16" s="401" t="s">
        <v>580</v>
      </c>
      <c r="Q16" s="414">
        <v>65</v>
      </c>
      <c r="R16" s="401" t="s">
        <v>241</v>
      </c>
      <c r="S16" s="414">
        <f>0.001*Q16</f>
        <v>6.5000000000000002E-2</v>
      </c>
    </row>
    <row r="17" spans="1:21">
      <c r="A17" s="88" t="s">
        <v>902</v>
      </c>
      <c r="B17" s="188">
        <f>Q17</f>
        <v>1.2</v>
      </c>
      <c r="D17" s="188" t="s">
        <v>37</v>
      </c>
      <c r="E17" s="188" t="s">
        <v>40</v>
      </c>
      <c r="F17" s="188" t="s">
        <v>29</v>
      </c>
      <c r="G17" s="37" t="s">
        <v>74</v>
      </c>
      <c r="H17" s="188" t="s">
        <v>33</v>
      </c>
      <c r="I17" s="188">
        <v>2</v>
      </c>
      <c r="J17" s="188">
        <f t="shared" si="0"/>
        <v>0.18232155679395459</v>
      </c>
      <c r="K17" s="464">
        <v>9.6046863561492793E-2</v>
      </c>
      <c r="P17" s="401" t="s">
        <v>241</v>
      </c>
      <c r="Q17" s="414">
        <v>1.2</v>
      </c>
    </row>
    <row r="18" spans="1:21">
      <c r="A18" s="88" t="s">
        <v>738</v>
      </c>
      <c r="B18" s="188">
        <f>S18</f>
        <v>6.5000000000000002E-2</v>
      </c>
      <c r="D18" s="188" t="s">
        <v>37</v>
      </c>
      <c r="E18" s="188" t="s">
        <v>40</v>
      </c>
      <c r="F18" s="188" t="s">
        <v>29</v>
      </c>
      <c r="G18" s="37" t="s">
        <v>74</v>
      </c>
      <c r="H18" s="188" t="s">
        <v>33</v>
      </c>
      <c r="I18" s="188">
        <v>2</v>
      </c>
      <c r="J18" s="188">
        <f t="shared" si="0"/>
        <v>-2.7333680090865</v>
      </c>
      <c r="K18" s="464">
        <v>9.6046863561492793E-2</v>
      </c>
      <c r="P18" s="401" t="s">
        <v>580</v>
      </c>
      <c r="Q18" s="414">
        <v>65</v>
      </c>
      <c r="R18" s="401" t="s">
        <v>241</v>
      </c>
      <c r="S18" s="414">
        <f>0.001*Q18</f>
        <v>6.5000000000000002E-2</v>
      </c>
    </row>
    <row r="19" spans="1:21" s="353" customFormat="1">
      <c r="A19" s="370" t="s">
        <v>5</v>
      </c>
      <c r="B19" s="371" t="str">
        <f>A29</f>
        <v>production of machined casing, mass scaled activities,non-isolating unidirectional FC DCDC converter, PEMFC-bat, Long-Term</v>
      </c>
      <c r="C19" s="371"/>
    </row>
    <row r="20" spans="1:21">
      <c r="A20" s="346" t="s">
        <v>7</v>
      </c>
      <c r="B20" s="188" t="s">
        <v>786</v>
      </c>
      <c r="D20" s="345"/>
    </row>
    <row r="21" spans="1:21">
      <c r="A21" s="424" t="s">
        <v>9</v>
      </c>
      <c r="B21" s="188" t="s">
        <v>1087</v>
      </c>
      <c r="D21" s="345"/>
    </row>
    <row r="22" spans="1:21" ht="15.75" customHeight="1">
      <c r="A22" s="346" t="s">
        <v>11</v>
      </c>
      <c r="B22" s="347" t="s">
        <v>796</v>
      </c>
      <c r="C22" s="347"/>
    </row>
    <row r="23" spans="1:21">
      <c r="A23" s="346" t="s">
        <v>13</v>
      </c>
      <c r="B23" s="188" t="s">
        <v>14</v>
      </c>
    </row>
    <row r="24" spans="1:21">
      <c r="A24" s="346" t="s">
        <v>15</v>
      </c>
      <c r="B24" s="358">
        <v>1</v>
      </c>
      <c r="C24" s="358"/>
    </row>
    <row r="25" spans="1:21">
      <c r="A25" s="346" t="s">
        <v>16</v>
      </c>
      <c r="B25" s="188" t="s">
        <v>17</v>
      </c>
    </row>
    <row r="26" spans="1:21">
      <c r="A26" s="346" t="s">
        <v>18</v>
      </c>
      <c r="B26" s="188" t="s">
        <v>18</v>
      </c>
    </row>
    <row r="27" spans="1:21">
      <c r="A27" s="343" t="s">
        <v>19</v>
      </c>
    </row>
    <row r="28" spans="1:21">
      <c r="A28" s="344" t="s">
        <v>20</v>
      </c>
      <c r="B28" s="344" t="s">
        <v>21</v>
      </c>
      <c r="C28" s="382" t="s">
        <v>217</v>
      </c>
      <c r="D28" s="344" t="s">
        <v>18</v>
      </c>
      <c r="E28" s="344" t="s">
        <v>22</v>
      </c>
      <c r="F28" s="344" t="s">
        <v>7</v>
      </c>
      <c r="G28" s="344" t="s">
        <v>13</v>
      </c>
      <c r="H28" s="344" t="s">
        <v>16</v>
      </c>
      <c r="I28" s="344" t="s">
        <v>23</v>
      </c>
      <c r="J28" s="344" t="s">
        <v>24</v>
      </c>
      <c r="K28" s="344" t="s">
        <v>25</v>
      </c>
      <c r="L28" s="344" t="s">
        <v>26</v>
      </c>
      <c r="M28" s="344" t="s">
        <v>27</v>
      </c>
      <c r="N28" s="344" t="s">
        <v>28</v>
      </c>
      <c r="O28" s="344" t="s">
        <v>11</v>
      </c>
      <c r="U28" s="415"/>
    </row>
    <row r="29" spans="1:21">
      <c r="A29" s="188" t="s">
        <v>1086</v>
      </c>
      <c r="B29" s="188">
        <v>1</v>
      </c>
      <c r="D29" s="188" t="s">
        <v>18</v>
      </c>
      <c r="E29" s="408" t="s">
        <v>2</v>
      </c>
      <c r="F29" s="188" t="s">
        <v>29</v>
      </c>
      <c r="G29" s="188" t="s">
        <v>14</v>
      </c>
      <c r="H29" s="188" t="s">
        <v>30</v>
      </c>
      <c r="I29" s="188">
        <v>1</v>
      </c>
      <c r="J29" s="188">
        <f>B29</f>
        <v>1</v>
      </c>
      <c r="K29" s="188" t="s">
        <v>31</v>
      </c>
      <c r="L29" s="188" t="s">
        <v>31</v>
      </c>
      <c r="M29" s="188" t="s">
        <v>31</v>
      </c>
      <c r="N29" s="188" t="s">
        <v>31</v>
      </c>
    </row>
    <row r="30" spans="1:21">
      <c r="A30" s="188" t="s">
        <v>1088</v>
      </c>
      <c r="B30" s="188">
        <f>Q30</f>
        <v>6.56</v>
      </c>
      <c r="D30" s="188" t="s">
        <v>37</v>
      </c>
      <c r="E30" s="408" t="s">
        <v>2</v>
      </c>
      <c r="F30" s="188" t="s">
        <v>29</v>
      </c>
      <c r="G30" s="188" t="s">
        <v>14</v>
      </c>
      <c r="H30" s="188" t="s">
        <v>33</v>
      </c>
      <c r="I30" s="188">
        <v>2</v>
      </c>
      <c r="J30" s="188">
        <f>LN(B30)</f>
        <v>1.8809906029559975</v>
      </c>
      <c r="K30" s="188">
        <v>0.10307764064044142</v>
      </c>
      <c r="L30" s="188" t="s">
        <v>31</v>
      </c>
      <c r="M30" s="188" t="s">
        <v>31</v>
      </c>
      <c r="N30" s="188" t="s">
        <v>31</v>
      </c>
      <c r="Q30" s="462">
        <v>6.56</v>
      </c>
    </row>
    <row r="31" spans="1:21">
      <c r="A31" s="346" t="s">
        <v>269</v>
      </c>
      <c r="B31" s="350">
        <f>Q31</f>
        <v>0.39</v>
      </c>
      <c r="C31" s="350"/>
      <c r="D31" s="188" t="s">
        <v>39</v>
      </c>
      <c r="E31" s="188" t="s">
        <v>40</v>
      </c>
      <c r="F31" s="188" t="s">
        <v>29</v>
      </c>
      <c r="G31" s="37" t="s">
        <v>59</v>
      </c>
      <c r="H31" s="188" t="s">
        <v>33</v>
      </c>
      <c r="I31" s="188">
        <v>2</v>
      </c>
      <c r="J31" s="188">
        <f t="shared" ref="J31:J37" si="1">LN(B31)</f>
        <v>-0.94160853985844495</v>
      </c>
      <c r="K31" s="188">
        <v>9.6046863561492793E-2</v>
      </c>
      <c r="L31" s="188" t="s">
        <v>31</v>
      </c>
      <c r="M31" s="188" t="s">
        <v>31</v>
      </c>
      <c r="N31" s="188" t="s">
        <v>31</v>
      </c>
      <c r="P31" s="401" t="s">
        <v>248</v>
      </c>
      <c r="Q31" s="414">
        <v>0.39</v>
      </c>
    </row>
    <row r="32" spans="1:21">
      <c r="A32" s="88" t="s">
        <v>901</v>
      </c>
      <c r="B32" s="188">
        <f>S32</f>
        <v>9.1999999999999998E-2</v>
      </c>
      <c r="D32" s="188" t="s">
        <v>37</v>
      </c>
      <c r="E32" s="188" t="s">
        <v>40</v>
      </c>
      <c r="F32" s="188" t="s">
        <v>29</v>
      </c>
      <c r="G32" s="188" t="s">
        <v>35</v>
      </c>
      <c r="H32" s="188" t="s">
        <v>33</v>
      </c>
      <c r="I32" s="188">
        <v>2</v>
      </c>
      <c r="J32" s="188">
        <f t="shared" si="1"/>
        <v>-2.3859667019330968</v>
      </c>
      <c r="K32" s="188">
        <v>9.6046863561492793E-2</v>
      </c>
      <c r="L32" s="188" t="s">
        <v>31</v>
      </c>
      <c r="M32" s="188" t="s">
        <v>31</v>
      </c>
      <c r="N32" s="188" t="s">
        <v>31</v>
      </c>
      <c r="P32" s="401" t="s">
        <v>580</v>
      </c>
      <c r="Q32" s="414">
        <v>92</v>
      </c>
      <c r="R32" s="401" t="s">
        <v>241</v>
      </c>
      <c r="S32" s="414">
        <f>0.001*Q32</f>
        <v>9.1999999999999998E-2</v>
      </c>
    </row>
    <row r="33" spans="1:21">
      <c r="A33" s="88" t="s">
        <v>902</v>
      </c>
      <c r="B33" s="188">
        <f>Q33</f>
        <v>1.7</v>
      </c>
      <c r="D33" s="188" t="s">
        <v>37</v>
      </c>
      <c r="E33" s="188" t="s">
        <v>40</v>
      </c>
      <c r="F33" s="188" t="s">
        <v>29</v>
      </c>
      <c r="G33" s="37" t="s">
        <v>74</v>
      </c>
      <c r="H33" s="188" t="s">
        <v>33</v>
      </c>
      <c r="I33" s="188">
        <v>2</v>
      </c>
      <c r="J33" s="188">
        <f t="shared" si="1"/>
        <v>0.53062825106217038</v>
      </c>
      <c r="K33" s="188">
        <v>9.6046863561492793E-2</v>
      </c>
      <c r="L33" s="188" t="s">
        <v>31</v>
      </c>
      <c r="M33" s="188" t="s">
        <v>31</v>
      </c>
      <c r="N33" s="188" t="s">
        <v>31</v>
      </c>
      <c r="P33" s="401" t="s">
        <v>241</v>
      </c>
      <c r="Q33" s="414">
        <v>1.7</v>
      </c>
    </row>
    <row r="34" spans="1:21">
      <c r="A34" s="438" t="s">
        <v>265</v>
      </c>
      <c r="B34" s="188">
        <f>S35</f>
        <v>0.34800000000000003</v>
      </c>
      <c r="C34" s="192" t="s">
        <v>266</v>
      </c>
      <c r="D34" s="188" t="s">
        <v>37</v>
      </c>
      <c r="E34" s="188" t="s">
        <v>40</v>
      </c>
      <c r="F34" s="188" t="s">
        <v>29</v>
      </c>
      <c r="G34" s="37" t="s">
        <v>35</v>
      </c>
      <c r="H34" s="188" t="s">
        <v>33</v>
      </c>
      <c r="I34" s="188">
        <v>2</v>
      </c>
      <c r="J34" s="188">
        <f t="shared" si="1"/>
        <v>-1.0555527992076625</v>
      </c>
      <c r="K34" s="188">
        <v>9.6046863561492793E-2</v>
      </c>
      <c r="L34" s="188" t="s">
        <v>31</v>
      </c>
      <c r="M34" s="188" t="s">
        <v>31</v>
      </c>
      <c r="N34" s="188" t="s">
        <v>31</v>
      </c>
      <c r="P34" s="401"/>
      <c r="Q34" s="414"/>
    </row>
    <row r="35" spans="1:21">
      <c r="A35" s="192" t="s">
        <v>263</v>
      </c>
      <c r="B35" s="188">
        <f>S35</f>
        <v>0.34800000000000003</v>
      </c>
      <c r="D35" s="188" t="s">
        <v>37</v>
      </c>
      <c r="E35" s="188" t="s">
        <v>40</v>
      </c>
      <c r="F35" s="188" t="s">
        <v>29</v>
      </c>
      <c r="G35" s="188" t="s">
        <v>35</v>
      </c>
      <c r="H35" s="188" t="s">
        <v>33</v>
      </c>
      <c r="I35" s="188">
        <v>2</v>
      </c>
      <c r="J35" s="188">
        <f t="shared" si="1"/>
        <v>-1.0555527992076625</v>
      </c>
      <c r="K35" s="188">
        <v>9.6046863561492793E-2</v>
      </c>
      <c r="L35" s="188" t="s">
        <v>31</v>
      </c>
      <c r="M35" s="188" t="s">
        <v>31</v>
      </c>
      <c r="N35" s="188" t="s">
        <v>31</v>
      </c>
      <c r="P35" s="418" t="s">
        <v>580</v>
      </c>
      <c r="Q35" s="419">
        <v>348</v>
      </c>
      <c r="R35" s="401" t="s">
        <v>241</v>
      </c>
      <c r="S35" s="414">
        <f>0.001*Q35</f>
        <v>0.34800000000000003</v>
      </c>
    </row>
    <row r="36" spans="1:21">
      <c r="A36" s="88" t="s">
        <v>905</v>
      </c>
      <c r="B36" s="188">
        <f t="shared" ref="B36" si="2">S36</f>
        <v>9.1999999999999998E-2</v>
      </c>
      <c r="D36" s="188" t="s">
        <v>37</v>
      </c>
      <c r="E36" s="188" t="s">
        <v>40</v>
      </c>
      <c r="F36" s="188" t="s">
        <v>29</v>
      </c>
      <c r="G36" s="188" t="s">
        <v>59</v>
      </c>
      <c r="H36" s="188" t="s">
        <v>136</v>
      </c>
      <c r="I36" s="188">
        <v>2</v>
      </c>
      <c r="J36" s="188">
        <f t="shared" si="1"/>
        <v>-2.3859667019330968</v>
      </c>
      <c r="K36" s="188">
        <v>9.6046863561492793E-2</v>
      </c>
      <c r="L36" s="188" t="s">
        <v>31</v>
      </c>
      <c r="M36" s="188" t="s">
        <v>31</v>
      </c>
      <c r="N36" s="188" t="s">
        <v>31</v>
      </c>
      <c r="P36" s="418" t="s">
        <v>580</v>
      </c>
      <c r="Q36" s="419">
        <v>348</v>
      </c>
      <c r="R36" s="401" t="s">
        <v>241</v>
      </c>
      <c r="S36" s="414">
        <f>0.001*Q37</f>
        <v>9.1999999999999998E-2</v>
      </c>
    </row>
    <row r="37" spans="1:21">
      <c r="A37" s="88" t="s">
        <v>738</v>
      </c>
      <c r="B37" s="188">
        <f>S37</f>
        <v>9.1999999999999998E-2</v>
      </c>
      <c r="D37" s="188" t="s">
        <v>37</v>
      </c>
      <c r="E37" s="188" t="s">
        <v>40</v>
      </c>
      <c r="F37" s="188" t="s">
        <v>29</v>
      </c>
      <c r="G37" s="37" t="s">
        <v>74</v>
      </c>
      <c r="H37" s="188" t="s">
        <v>33</v>
      </c>
      <c r="I37" s="188">
        <v>2</v>
      </c>
      <c r="J37" s="188">
        <f t="shared" si="1"/>
        <v>-2.3859667019330968</v>
      </c>
      <c r="K37" s="188">
        <v>9.6046863561492793E-2</v>
      </c>
      <c r="L37" s="188" t="s">
        <v>31</v>
      </c>
      <c r="M37" s="188" t="s">
        <v>31</v>
      </c>
      <c r="N37" s="188" t="s">
        <v>31</v>
      </c>
      <c r="P37" s="418" t="s">
        <v>580</v>
      </c>
      <c r="Q37" s="419">
        <v>92</v>
      </c>
      <c r="R37" s="401" t="s">
        <v>241</v>
      </c>
      <c r="S37" s="414">
        <f>Q37*0.001</f>
        <v>9.1999999999999998E-2</v>
      </c>
    </row>
    <row r="38" spans="1:21" s="353" customFormat="1">
      <c r="A38" s="370" t="s">
        <v>5</v>
      </c>
      <c r="B38" s="371" t="s">
        <v>1088</v>
      </c>
      <c r="C38" s="371"/>
    </row>
    <row r="39" spans="1:21">
      <c r="A39" s="346" t="s">
        <v>7</v>
      </c>
      <c r="B39" s="188" t="s">
        <v>786</v>
      </c>
      <c r="D39" s="345"/>
    </row>
    <row r="40" spans="1:21">
      <c r="A40" s="424" t="s">
        <v>9</v>
      </c>
      <c r="B40" s="188" t="s">
        <v>1089</v>
      </c>
      <c r="D40" s="345"/>
    </row>
    <row r="41" spans="1:21" ht="15.75" customHeight="1">
      <c r="A41" s="346" t="s">
        <v>11</v>
      </c>
      <c r="B41" s="347" t="s">
        <v>796</v>
      </c>
      <c r="C41" s="347"/>
    </row>
    <row r="42" spans="1:21">
      <c r="A42" s="346" t="s">
        <v>13</v>
      </c>
      <c r="B42" s="188" t="s">
        <v>14</v>
      </c>
    </row>
    <row r="43" spans="1:21">
      <c r="A43" s="346" t="s">
        <v>15</v>
      </c>
      <c r="B43" s="358">
        <f>B48</f>
        <v>6.89</v>
      </c>
      <c r="C43" s="358"/>
    </row>
    <row r="44" spans="1:21">
      <c r="A44" s="346" t="s">
        <v>16</v>
      </c>
      <c r="B44" s="188" t="s">
        <v>17</v>
      </c>
    </row>
    <row r="45" spans="1:21">
      <c r="A45" s="346" t="s">
        <v>18</v>
      </c>
      <c r="B45" s="188" t="s">
        <v>37</v>
      </c>
    </row>
    <row r="46" spans="1:21">
      <c r="A46" s="343" t="s">
        <v>19</v>
      </c>
    </row>
    <row r="47" spans="1:21">
      <c r="A47" s="344" t="s">
        <v>20</v>
      </c>
      <c r="B47" s="344" t="s">
        <v>21</v>
      </c>
      <c r="C47" s="382" t="s">
        <v>217</v>
      </c>
      <c r="D47" s="344" t="s">
        <v>18</v>
      </c>
      <c r="E47" s="344" t="s">
        <v>22</v>
      </c>
      <c r="F47" s="344" t="s">
        <v>7</v>
      </c>
      <c r="G47" s="344" t="s">
        <v>13</v>
      </c>
      <c r="H47" s="344" t="s">
        <v>16</v>
      </c>
      <c r="I47" s="344" t="s">
        <v>23</v>
      </c>
      <c r="J47" s="344" t="s">
        <v>24</v>
      </c>
      <c r="K47" s="344" t="s">
        <v>25</v>
      </c>
      <c r="L47" s="344" t="s">
        <v>26</v>
      </c>
      <c r="M47" s="344" t="s">
        <v>27</v>
      </c>
      <c r="N47" s="344" t="s">
        <v>28</v>
      </c>
      <c r="O47" s="344" t="s">
        <v>11</v>
      </c>
      <c r="U47" s="415"/>
    </row>
    <row r="48" spans="1:21">
      <c r="A48" s="188" t="s">
        <v>1088</v>
      </c>
      <c r="B48" s="188">
        <f>Q48</f>
        <v>6.89</v>
      </c>
      <c r="D48" s="188" t="s">
        <v>37</v>
      </c>
      <c r="E48" s="408" t="s">
        <v>2</v>
      </c>
      <c r="F48" s="188" t="s">
        <v>29</v>
      </c>
      <c r="G48" s="188" t="s">
        <v>14</v>
      </c>
      <c r="H48" s="188" t="s">
        <v>30</v>
      </c>
      <c r="I48" s="188">
        <v>2</v>
      </c>
      <c r="J48" s="188">
        <f>LN(B48)</f>
        <v>1.9300710850255671</v>
      </c>
      <c r="K48" s="188">
        <v>0.10307764064044142</v>
      </c>
      <c r="L48" s="188" t="s">
        <v>31</v>
      </c>
      <c r="M48" s="188" t="s">
        <v>31</v>
      </c>
      <c r="N48" s="188" t="s">
        <v>31</v>
      </c>
      <c r="Q48" s="465">
        <v>6.89</v>
      </c>
    </row>
    <row r="49" spans="1:25">
      <c r="A49" s="88" t="s">
        <v>905</v>
      </c>
      <c r="B49" s="188">
        <f>Q49</f>
        <v>7.3</v>
      </c>
      <c r="D49" s="188" t="s">
        <v>37</v>
      </c>
      <c r="E49" s="188" t="s">
        <v>40</v>
      </c>
      <c r="F49" s="188" t="s">
        <v>29</v>
      </c>
      <c r="G49" s="188" t="s">
        <v>59</v>
      </c>
      <c r="H49" s="188" t="s">
        <v>33</v>
      </c>
      <c r="I49" s="188">
        <v>2</v>
      </c>
      <c r="J49" s="188">
        <f t="shared" ref="J49:J57" si="3">LN(B49)</f>
        <v>1.9878743481543455</v>
      </c>
      <c r="K49" s="188">
        <v>4.9999999999998969E-3</v>
      </c>
      <c r="L49" s="188" t="s">
        <v>31</v>
      </c>
      <c r="M49" s="188" t="s">
        <v>31</v>
      </c>
      <c r="N49" s="188" t="s">
        <v>31</v>
      </c>
      <c r="P49" s="401" t="s">
        <v>241</v>
      </c>
      <c r="Q49" s="414">
        <v>7.3</v>
      </c>
    </row>
    <row r="50" spans="1:25">
      <c r="A50" s="27" t="s">
        <v>69</v>
      </c>
      <c r="B50" s="188">
        <f>S50</f>
        <v>1.9425587467362928</v>
      </c>
      <c r="D50" s="188" t="s">
        <v>42</v>
      </c>
      <c r="E50" s="188" t="s">
        <v>40</v>
      </c>
      <c r="F50" s="188" t="s">
        <v>29</v>
      </c>
      <c r="G50" s="188" t="s">
        <v>249</v>
      </c>
      <c r="H50" s="188" t="s">
        <v>33</v>
      </c>
      <c r="I50" s="188">
        <v>2</v>
      </c>
      <c r="J50" s="188">
        <f t="shared" si="3"/>
        <v>0.66400604565244603</v>
      </c>
      <c r="K50" s="188">
        <v>4.9999999999998969E-3</v>
      </c>
      <c r="L50" s="188" t="s">
        <v>31</v>
      </c>
      <c r="M50" s="188" t="s">
        <v>31</v>
      </c>
      <c r="N50" s="188" t="s">
        <v>31</v>
      </c>
      <c r="P50" s="401" t="s">
        <v>250</v>
      </c>
      <c r="Q50" s="414">
        <v>74.400000000000006</v>
      </c>
      <c r="R50" s="188" t="s">
        <v>251</v>
      </c>
      <c r="S50" s="188">
        <f>Q50/38.3</f>
        <v>1.9425587467362928</v>
      </c>
      <c r="T50" s="466"/>
      <c r="U50" s="467"/>
      <c r="V50" s="467"/>
      <c r="W50" s="467"/>
      <c r="X50" s="467"/>
      <c r="Y50" s="467"/>
    </row>
    <row r="51" spans="1:25">
      <c r="A51" s="346" t="s">
        <v>269</v>
      </c>
      <c r="B51" s="350">
        <f>Q51</f>
        <v>17.899999999999999</v>
      </c>
      <c r="C51" s="350"/>
      <c r="D51" s="188" t="s">
        <v>39</v>
      </c>
      <c r="E51" s="188" t="s">
        <v>40</v>
      </c>
      <c r="F51" s="188" t="s">
        <v>29</v>
      </c>
      <c r="G51" s="37" t="s">
        <v>59</v>
      </c>
      <c r="H51" s="188" t="s">
        <v>33</v>
      </c>
      <c r="I51" s="188">
        <v>2</v>
      </c>
      <c r="J51" s="188">
        <f t="shared" si="3"/>
        <v>2.884800712846709</v>
      </c>
      <c r="K51" s="188">
        <v>4.9999999999998969E-3</v>
      </c>
      <c r="L51" s="188" t="s">
        <v>31</v>
      </c>
      <c r="M51" s="188" t="s">
        <v>31</v>
      </c>
      <c r="N51" s="188" t="s">
        <v>31</v>
      </c>
      <c r="P51" s="401" t="s">
        <v>248</v>
      </c>
      <c r="Q51" s="414">
        <v>17.899999999999999</v>
      </c>
    </row>
    <row r="52" spans="1:25">
      <c r="A52" s="88" t="s">
        <v>907</v>
      </c>
      <c r="B52" s="188">
        <f>S52</f>
        <v>0.14000000000000001</v>
      </c>
      <c r="D52" s="188" t="s">
        <v>37</v>
      </c>
      <c r="E52" s="188" t="s">
        <v>40</v>
      </c>
      <c r="F52" s="188" t="s">
        <v>29</v>
      </c>
      <c r="G52" s="188" t="s">
        <v>35</v>
      </c>
      <c r="H52" s="188" t="s">
        <v>33</v>
      </c>
      <c r="I52" s="188">
        <v>2</v>
      </c>
      <c r="J52" s="188">
        <f t="shared" si="3"/>
        <v>-1.9661128563728327</v>
      </c>
      <c r="K52" s="188">
        <v>0.10049875621120885</v>
      </c>
      <c r="L52" s="188" t="s">
        <v>31</v>
      </c>
      <c r="M52" s="188" t="s">
        <v>31</v>
      </c>
      <c r="N52" s="188" t="s">
        <v>31</v>
      </c>
      <c r="P52" s="401" t="s">
        <v>580</v>
      </c>
      <c r="Q52" s="414">
        <v>140</v>
      </c>
      <c r="R52" s="401" t="s">
        <v>241</v>
      </c>
      <c r="S52" s="414">
        <f t="shared" ref="S52:S54" si="4">0.001*Q52</f>
        <v>0.14000000000000001</v>
      </c>
    </row>
    <row r="53" spans="1:25">
      <c r="A53" s="88" t="s">
        <v>908</v>
      </c>
      <c r="B53" s="188">
        <f>S53</f>
        <v>2.8E-3</v>
      </c>
      <c r="D53" s="188" t="s">
        <v>37</v>
      </c>
      <c r="E53" s="188" t="s">
        <v>43</v>
      </c>
      <c r="F53" s="188" t="s">
        <v>44</v>
      </c>
      <c r="G53" s="188" t="s">
        <v>29</v>
      </c>
      <c r="H53" s="188" t="s">
        <v>45</v>
      </c>
      <c r="I53" s="188">
        <v>2</v>
      </c>
      <c r="J53" s="188">
        <f t="shared" si="3"/>
        <v>-5.8781358618009785</v>
      </c>
      <c r="K53" s="188">
        <v>4.9999999999998969E-3</v>
      </c>
      <c r="L53" s="188" t="s">
        <v>31</v>
      </c>
      <c r="M53" s="188" t="s">
        <v>31</v>
      </c>
      <c r="N53" s="188" t="s">
        <v>31</v>
      </c>
      <c r="P53" s="416" t="s">
        <v>580</v>
      </c>
      <c r="Q53" s="439">
        <v>2.8</v>
      </c>
      <c r="R53" s="401" t="s">
        <v>241</v>
      </c>
      <c r="S53" s="414">
        <f t="shared" si="4"/>
        <v>2.8E-3</v>
      </c>
    </row>
    <row r="54" spans="1:25">
      <c r="A54" s="346" t="s">
        <v>758</v>
      </c>
      <c r="B54" s="188">
        <f>S54</f>
        <v>6.9000000000000008E-3</v>
      </c>
      <c r="D54" s="188" t="s">
        <v>37</v>
      </c>
      <c r="E54" s="188" t="s">
        <v>43</v>
      </c>
      <c r="F54" s="188" t="s">
        <v>44</v>
      </c>
      <c r="G54" s="37" t="s">
        <v>29</v>
      </c>
      <c r="H54" s="188" t="s">
        <v>45</v>
      </c>
      <c r="I54" s="188">
        <v>2</v>
      </c>
      <c r="J54" s="188">
        <f t="shared" si="3"/>
        <v>-4.976233867378923</v>
      </c>
      <c r="K54" s="188">
        <v>8.9582364335844641E-2</v>
      </c>
      <c r="L54" s="188" t="s">
        <v>31</v>
      </c>
      <c r="M54" s="188" t="s">
        <v>31</v>
      </c>
      <c r="N54" s="188" t="s">
        <v>31</v>
      </c>
      <c r="P54" s="416" t="s">
        <v>580</v>
      </c>
      <c r="Q54" s="439">
        <v>6.9</v>
      </c>
      <c r="R54" s="401" t="s">
        <v>241</v>
      </c>
      <c r="S54" s="414">
        <f t="shared" si="4"/>
        <v>6.9000000000000008E-3</v>
      </c>
    </row>
    <row r="55" spans="1:25">
      <c r="A55" s="438" t="s">
        <v>265</v>
      </c>
      <c r="B55" s="188">
        <f>B56</f>
        <v>0.41</v>
      </c>
      <c r="C55" s="192" t="s">
        <v>266</v>
      </c>
      <c r="D55" s="188" t="s">
        <v>37</v>
      </c>
      <c r="E55" s="188" t="s">
        <v>40</v>
      </c>
      <c r="F55" s="188" t="s">
        <v>29</v>
      </c>
      <c r="G55" s="37" t="s">
        <v>35</v>
      </c>
      <c r="H55" s="188" t="s">
        <v>33</v>
      </c>
      <c r="I55" s="188">
        <v>2</v>
      </c>
      <c r="J55" s="188">
        <f t="shared" si="3"/>
        <v>-0.89159811928378363</v>
      </c>
      <c r="K55" s="188">
        <v>9.6046863561492793E-2</v>
      </c>
      <c r="L55" s="188" t="s">
        <v>31</v>
      </c>
      <c r="M55" s="188" t="s">
        <v>31</v>
      </c>
      <c r="N55" s="188" t="s">
        <v>31</v>
      </c>
      <c r="P55" s="416"/>
      <c r="Q55" s="439"/>
      <c r="R55" s="432"/>
      <c r="S55" s="433"/>
    </row>
    <row r="56" spans="1:25">
      <c r="A56" s="192" t="s">
        <v>263</v>
      </c>
      <c r="B56" s="188">
        <f>Q56</f>
        <v>0.41</v>
      </c>
      <c r="D56" s="188" t="s">
        <v>37</v>
      </c>
      <c r="E56" s="188" t="s">
        <v>40</v>
      </c>
      <c r="F56" s="188" t="s">
        <v>29</v>
      </c>
      <c r="G56" s="188" t="s">
        <v>35</v>
      </c>
      <c r="H56" s="188" t="s">
        <v>33</v>
      </c>
      <c r="I56" s="188">
        <v>2</v>
      </c>
      <c r="J56" s="188">
        <f t="shared" si="3"/>
        <v>-0.89159811928378363</v>
      </c>
      <c r="K56" s="188">
        <v>4.9999999999998969E-3</v>
      </c>
      <c r="L56" s="188" t="s">
        <v>31</v>
      </c>
      <c r="M56" s="188" t="s">
        <v>31</v>
      </c>
      <c r="N56" s="188" t="s">
        <v>31</v>
      </c>
      <c r="P56" s="418" t="s">
        <v>241</v>
      </c>
      <c r="Q56" s="419">
        <v>0.41</v>
      </c>
    </row>
    <row r="57" spans="1:25">
      <c r="A57" s="88" t="s">
        <v>905</v>
      </c>
      <c r="B57" s="188">
        <f>Q56</f>
        <v>0.41</v>
      </c>
      <c r="D57" s="188" t="s">
        <v>37</v>
      </c>
      <c r="E57" s="188" t="s">
        <v>40</v>
      </c>
      <c r="F57" s="188" t="s">
        <v>29</v>
      </c>
      <c r="G57" s="188" t="s">
        <v>59</v>
      </c>
      <c r="H57" s="188" t="s">
        <v>136</v>
      </c>
      <c r="I57" s="188">
        <v>2</v>
      </c>
      <c r="J57" s="188">
        <f t="shared" si="3"/>
        <v>-0.89159811928378363</v>
      </c>
      <c r="K57" s="188">
        <v>4.9999999999998969E-3</v>
      </c>
      <c r="L57" s="188" t="s">
        <v>31</v>
      </c>
      <c r="M57" s="188" t="s">
        <v>31</v>
      </c>
      <c r="N57" s="188" t="s">
        <v>31</v>
      </c>
    </row>
  </sheetData>
  <pageMargins left="0.7" right="0.7" top="0.75" bottom="0.75" header="0.3" footer="0.3"/>
  <pageSetup paperSize="9"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03B8-8F42-4A20-8977-51BF4B0782CA}">
  <sheetPr>
    <tabColor theme="7"/>
  </sheetPr>
  <dimension ref="A1:U363"/>
  <sheetViews>
    <sheetView zoomScale="85" zoomScaleNormal="85" workbookViewId="0">
      <selection activeCell="H19" sqref="H19"/>
    </sheetView>
  </sheetViews>
  <sheetFormatPr defaultRowHeight="14.4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70" t="s">
        <v>5</v>
      </c>
      <c r="B2" s="371" t="s">
        <v>1060</v>
      </c>
      <c r="C2" s="372"/>
      <c r="D2" s="353"/>
      <c r="E2" s="353"/>
      <c r="F2" s="353"/>
      <c r="G2" s="353"/>
      <c r="H2" s="353"/>
      <c r="I2" s="353"/>
      <c r="J2" s="353"/>
      <c r="K2" s="353"/>
      <c r="L2" s="353"/>
      <c r="M2" s="353"/>
      <c r="N2" s="188"/>
      <c r="O2" s="188"/>
      <c r="P2" s="188"/>
      <c r="Q2" s="188"/>
      <c r="R2" s="188"/>
      <c r="S2" s="188"/>
      <c r="T2" s="188"/>
      <c r="U2" s="188"/>
    </row>
    <row r="3" spans="1:21">
      <c r="A3" s="346" t="s">
        <v>7</v>
      </c>
      <c r="B3" s="188" t="s">
        <v>786</v>
      </c>
      <c r="C3" s="345"/>
      <c r="D3" s="188"/>
      <c r="E3" s="188"/>
      <c r="F3" s="188"/>
      <c r="G3" s="188"/>
      <c r="H3" s="188"/>
      <c r="I3" s="188"/>
      <c r="J3" s="188"/>
      <c r="K3" s="188"/>
      <c r="L3" s="188"/>
      <c r="M3" s="188"/>
      <c r="N3" s="188"/>
      <c r="O3" s="188"/>
      <c r="P3" s="188"/>
      <c r="Q3" s="188"/>
      <c r="R3" s="188"/>
      <c r="S3" s="188"/>
      <c r="T3" s="188"/>
      <c r="U3" s="188"/>
    </row>
    <row r="4" spans="1:21">
      <c r="A4" s="346" t="s">
        <v>9</v>
      </c>
      <c r="B4" s="188" t="s">
        <v>1090</v>
      </c>
      <c r="C4" s="345"/>
      <c r="D4" s="188"/>
      <c r="E4" s="188"/>
      <c r="F4" s="188"/>
      <c r="G4" s="188"/>
      <c r="H4" s="188"/>
      <c r="I4" s="188"/>
      <c r="J4" s="188"/>
      <c r="K4" s="188"/>
      <c r="L4" s="188"/>
      <c r="M4" s="188"/>
      <c r="N4" s="188"/>
      <c r="O4" s="188"/>
      <c r="P4" s="188"/>
      <c r="Q4" s="188"/>
      <c r="R4" s="188"/>
      <c r="S4" s="188"/>
      <c r="T4" s="188"/>
      <c r="U4" s="188"/>
    </row>
    <row r="5" spans="1:21" ht="16.5" customHeight="1">
      <c r="A5" s="346" t="s">
        <v>11</v>
      </c>
      <c r="B5" s="347" t="s">
        <v>796</v>
      </c>
      <c r="C5" s="188"/>
      <c r="D5" s="188"/>
      <c r="E5" s="188"/>
      <c r="F5" s="188"/>
      <c r="G5" s="188"/>
      <c r="H5" s="188"/>
      <c r="I5" s="188"/>
      <c r="J5" s="188"/>
      <c r="K5" s="188"/>
      <c r="L5" s="188"/>
      <c r="M5" s="188"/>
      <c r="N5" s="188"/>
      <c r="O5" s="188"/>
      <c r="P5" s="188"/>
      <c r="Q5" s="188"/>
      <c r="R5" s="188"/>
      <c r="S5" s="188"/>
      <c r="T5" s="188"/>
      <c r="U5" s="188"/>
    </row>
    <row r="6" spans="1:21">
      <c r="A6" s="346" t="s">
        <v>13</v>
      </c>
      <c r="B6" s="188" t="s">
        <v>14</v>
      </c>
      <c r="C6" s="188"/>
      <c r="D6" s="188"/>
      <c r="E6" s="188"/>
      <c r="F6" s="188"/>
      <c r="G6" s="188"/>
      <c r="H6" s="188"/>
      <c r="I6" s="188"/>
      <c r="J6" s="188"/>
      <c r="K6" s="188"/>
      <c r="L6" s="188"/>
      <c r="M6" s="188"/>
      <c r="N6" s="188"/>
      <c r="O6" s="188"/>
      <c r="P6" s="188"/>
      <c r="Q6" s="188"/>
      <c r="R6" s="188"/>
      <c r="S6" s="188"/>
      <c r="T6" s="188"/>
      <c r="U6" s="188"/>
    </row>
    <row r="7" spans="1:21">
      <c r="A7" s="346" t="s">
        <v>15</v>
      </c>
      <c r="B7" s="188">
        <f>B12</f>
        <v>2.5</v>
      </c>
      <c r="C7" s="188"/>
      <c r="D7" s="188"/>
      <c r="E7" s="188"/>
      <c r="F7" s="188"/>
      <c r="G7" s="188"/>
      <c r="H7" s="188"/>
      <c r="I7" s="188"/>
      <c r="J7" s="188"/>
      <c r="K7" s="188"/>
      <c r="L7" s="188"/>
      <c r="M7" s="188"/>
      <c r="N7" s="188"/>
      <c r="O7" s="188" t="s">
        <v>1012</v>
      </c>
      <c r="P7" s="188"/>
      <c r="Q7" s="188"/>
      <c r="R7" s="188"/>
      <c r="S7" s="188"/>
      <c r="T7" s="188"/>
      <c r="U7" s="188"/>
    </row>
    <row r="8" spans="1:21">
      <c r="A8" s="346" t="s">
        <v>16</v>
      </c>
      <c r="B8" s="188" t="s">
        <v>17</v>
      </c>
      <c r="C8" s="188"/>
      <c r="D8" s="188"/>
      <c r="E8" s="188"/>
      <c r="F8" s="188"/>
      <c r="G8" s="188"/>
      <c r="H8" s="188"/>
      <c r="I8" s="188"/>
      <c r="J8" s="188"/>
      <c r="K8" s="188"/>
      <c r="L8" s="188"/>
      <c r="M8" s="188"/>
      <c r="N8" s="188"/>
      <c r="O8" s="188"/>
      <c r="P8" s="188"/>
      <c r="Q8" s="188"/>
      <c r="R8" s="188"/>
      <c r="S8" s="188"/>
      <c r="T8" s="188"/>
      <c r="U8" s="188"/>
    </row>
    <row r="9" spans="1:21">
      <c r="A9" s="346" t="s">
        <v>18</v>
      </c>
      <c r="B9" s="188" t="s">
        <v>37</v>
      </c>
      <c r="C9" s="188"/>
      <c r="D9" s="188"/>
      <c r="E9" s="188"/>
      <c r="F9" s="188"/>
      <c r="G9" s="188"/>
      <c r="H9" s="188"/>
      <c r="I9" s="188"/>
      <c r="J9" s="188"/>
      <c r="K9" s="188"/>
      <c r="L9" s="188"/>
      <c r="M9" s="188"/>
      <c r="N9" s="188"/>
      <c r="O9" s="188"/>
      <c r="P9" s="188"/>
      <c r="Q9" s="188"/>
      <c r="R9" s="188"/>
      <c r="S9" s="188"/>
      <c r="T9" s="188"/>
      <c r="U9" s="188"/>
    </row>
    <row r="10" spans="1:21">
      <c r="A10" s="343"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c r="U11" s="188"/>
    </row>
    <row r="12" spans="1:21">
      <c r="A12" s="346" t="s">
        <v>1060</v>
      </c>
      <c r="B12" s="188">
        <f>'2C. N-ISOLATING DCDC CONVERTER'!B16</f>
        <v>2.5</v>
      </c>
      <c r="C12" s="188" t="s">
        <v>37</v>
      </c>
      <c r="D12" s="408"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1091</v>
      </c>
      <c r="B13" s="188">
        <v>1</v>
      </c>
      <c r="C13" s="188" t="s">
        <v>18</v>
      </c>
      <c r="D13" s="408" t="s">
        <v>2</v>
      </c>
      <c r="E13" s="188" t="s">
        <v>29</v>
      </c>
      <c r="F13" s="37" t="s">
        <v>14</v>
      </c>
      <c r="G13" s="188" t="s">
        <v>33</v>
      </c>
      <c r="H13" s="188">
        <v>1</v>
      </c>
      <c r="I13" s="188">
        <f>B13</f>
        <v>1</v>
      </c>
      <c r="J13" s="188" t="s">
        <v>31</v>
      </c>
      <c r="K13" s="188" t="s">
        <v>31</v>
      </c>
      <c r="L13" s="188" t="s">
        <v>31</v>
      </c>
      <c r="M13" s="188" t="s">
        <v>31</v>
      </c>
      <c r="N13" s="188"/>
      <c r="O13" s="188"/>
      <c r="P13" s="188"/>
      <c r="Q13" s="188"/>
      <c r="R13" s="188"/>
      <c r="S13" s="188"/>
      <c r="T13" s="188"/>
      <c r="U13" s="188"/>
    </row>
    <row r="14" spans="1:21">
      <c r="A14" s="188" t="s">
        <v>1092</v>
      </c>
      <c r="B14" s="188">
        <v>1</v>
      </c>
      <c r="C14" s="188" t="s">
        <v>18</v>
      </c>
      <c r="D14" s="408" t="s">
        <v>2</v>
      </c>
      <c r="E14" s="188" t="s">
        <v>29</v>
      </c>
      <c r="F14" s="37" t="s">
        <v>14</v>
      </c>
      <c r="G14" s="188" t="s">
        <v>33</v>
      </c>
      <c r="H14" s="188">
        <v>1</v>
      </c>
      <c r="I14" s="188">
        <f>B14</f>
        <v>1</v>
      </c>
      <c r="J14" s="188" t="s">
        <v>31</v>
      </c>
      <c r="K14" s="188" t="s">
        <v>31</v>
      </c>
      <c r="L14" s="188" t="s">
        <v>31</v>
      </c>
      <c r="M14" s="188" t="s">
        <v>31</v>
      </c>
      <c r="N14" s="188"/>
      <c r="O14" s="188"/>
      <c r="P14" s="188"/>
      <c r="Q14" s="188"/>
      <c r="R14" s="188"/>
      <c r="S14" s="188"/>
      <c r="T14" s="188"/>
      <c r="U14" s="188"/>
    </row>
    <row r="15" spans="1:21">
      <c r="A15" s="88" t="s">
        <v>179</v>
      </c>
      <c r="B15" s="392">
        <f>R15</f>
        <v>5.6999999999999998E-4</v>
      </c>
      <c r="C15" s="188" t="s">
        <v>37</v>
      </c>
      <c r="D15" s="188" t="s">
        <v>40</v>
      </c>
      <c r="E15" s="188" t="s">
        <v>29</v>
      </c>
      <c r="F15" s="37" t="s">
        <v>35</v>
      </c>
      <c r="G15" s="188" t="s">
        <v>33</v>
      </c>
      <c r="H15" s="188">
        <v>2</v>
      </c>
      <c r="I15" s="188">
        <f>LN(B15)</f>
        <v>-7.4698741971356784</v>
      </c>
      <c r="J15" s="188">
        <v>2.8722813232690055E-2</v>
      </c>
      <c r="K15" s="188" t="s">
        <v>31</v>
      </c>
      <c r="L15" s="188" t="s">
        <v>31</v>
      </c>
      <c r="M15" s="188" t="s">
        <v>31</v>
      </c>
      <c r="N15" s="188"/>
      <c r="O15" s="383" t="s">
        <v>580</v>
      </c>
      <c r="P15" s="138">
        <v>0.56999999999999995</v>
      </c>
      <c r="Q15" s="188" t="s">
        <v>241</v>
      </c>
      <c r="R15" s="392">
        <f>P15*0.001</f>
        <v>5.6999999999999998E-4</v>
      </c>
      <c r="S15" s="188"/>
      <c r="T15" s="188"/>
      <c r="U15" s="188"/>
    </row>
    <row r="16" spans="1:21">
      <c r="A16" s="370" t="s">
        <v>5</v>
      </c>
      <c r="B16" s="371" t="s">
        <v>1092</v>
      </c>
      <c r="C16" s="372"/>
      <c r="D16" s="353"/>
      <c r="E16" s="353"/>
      <c r="F16" s="353"/>
      <c r="G16" s="353"/>
      <c r="H16" s="353"/>
      <c r="I16" s="353"/>
      <c r="J16" s="353"/>
      <c r="K16" s="353"/>
      <c r="L16" s="353"/>
      <c r="M16" s="353"/>
      <c r="N16" s="188"/>
      <c r="O16" s="188"/>
      <c r="P16" s="188"/>
      <c r="Q16" s="188"/>
      <c r="R16" s="188"/>
      <c r="S16" s="188"/>
      <c r="T16" s="188"/>
      <c r="U16" s="188"/>
    </row>
    <row r="17" spans="1:21">
      <c r="A17" s="346" t="s">
        <v>7</v>
      </c>
      <c r="B17" s="188" t="s">
        <v>786</v>
      </c>
      <c r="C17" s="345"/>
      <c r="D17" s="188"/>
      <c r="E17" s="188"/>
      <c r="F17" s="188"/>
      <c r="G17" s="188"/>
      <c r="H17" s="188"/>
      <c r="I17" s="188"/>
      <c r="J17" s="188"/>
      <c r="K17" s="188"/>
      <c r="L17" s="188"/>
      <c r="M17" s="188"/>
      <c r="N17" s="188"/>
      <c r="O17" s="188"/>
      <c r="P17" s="188"/>
      <c r="Q17" s="188"/>
      <c r="R17" s="188"/>
      <c r="S17" s="188"/>
      <c r="T17" s="188"/>
      <c r="U17" s="188"/>
    </row>
    <row r="18" spans="1:21">
      <c r="A18" s="346" t="s">
        <v>9</v>
      </c>
      <c r="B18" s="188" t="s">
        <v>1093</v>
      </c>
      <c r="C18" s="345"/>
      <c r="D18" s="188"/>
      <c r="E18" s="188"/>
      <c r="F18" s="188"/>
      <c r="G18" s="188"/>
      <c r="H18" s="188"/>
      <c r="I18" s="188"/>
      <c r="J18" s="188"/>
      <c r="K18" s="188"/>
      <c r="L18" s="188"/>
      <c r="M18" s="188"/>
      <c r="N18" s="188"/>
      <c r="O18" s="188"/>
      <c r="P18" s="188"/>
      <c r="Q18" s="188"/>
      <c r="R18" s="188"/>
      <c r="S18" s="188"/>
      <c r="T18" s="188"/>
      <c r="U18" s="188"/>
    </row>
    <row r="19" spans="1:21" ht="16.5" customHeight="1">
      <c r="A19" s="346" t="s">
        <v>11</v>
      </c>
      <c r="B19" s="347" t="s">
        <v>796</v>
      </c>
      <c r="C19" s="188"/>
      <c r="D19" s="188"/>
      <c r="E19" s="188"/>
      <c r="F19" s="188"/>
      <c r="G19" s="188"/>
      <c r="H19" s="188"/>
      <c r="I19" s="188"/>
      <c r="J19" s="188"/>
      <c r="K19" s="188"/>
      <c r="L19" s="188"/>
      <c r="M19" s="188"/>
      <c r="N19" s="188"/>
      <c r="O19" s="188"/>
      <c r="P19" s="188"/>
      <c r="Q19" s="188"/>
      <c r="R19" s="188"/>
      <c r="S19" s="188"/>
      <c r="T19" s="188"/>
      <c r="U19" s="188"/>
    </row>
    <row r="20" spans="1:21">
      <c r="A20" s="346"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46"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46"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46"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43"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43" t="s">
        <v>20</v>
      </c>
      <c r="B25" s="344" t="s">
        <v>21</v>
      </c>
      <c r="C25" s="344" t="s">
        <v>18</v>
      </c>
      <c r="D25" s="344" t="s">
        <v>22</v>
      </c>
      <c r="E25" s="344" t="s">
        <v>7</v>
      </c>
      <c r="F25" s="344" t="s">
        <v>13</v>
      </c>
      <c r="G25" s="344" t="s">
        <v>16</v>
      </c>
      <c r="H25" s="344" t="s">
        <v>23</v>
      </c>
      <c r="I25" s="344" t="s">
        <v>24</v>
      </c>
      <c r="J25" s="344" t="s">
        <v>25</v>
      </c>
      <c r="K25" s="344" t="s">
        <v>26</v>
      </c>
      <c r="L25" s="344" t="s">
        <v>27</v>
      </c>
      <c r="M25" s="344" t="s">
        <v>28</v>
      </c>
      <c r="N25" s="344" t="s">
        <v>11</v>
      </c>
      <c r="O25" s="188"/>
      <c r="P25" s="188"/>
      <c r="Q25" s="188"/>
      <c r="R25" s="188"/>
      <c r="S25" s="188"/>
      <c r="T25" s="188"/>
      <c r="U25" s="188"/>
    </row>
    <row r="26" spans="1:21">
      <c r="A26" s="188" t="s">
        <v>1092</v>
      </c>
      <c r="B26" s="188">
        <v>1</v>
      </c>
      <c r="C26" s="188" t="s">
        <v>18</v>
      </c>
      <c r="D26" s="408" t="s">
        <v>2</v>
      </c>
      <c r="E26" s="188" t="s">
        <v>29</v>
      </c>
      <c r="F26" s="37" t="s">
        <v>14</v>
      </c>
      <c r="G26" s="188" t="s">
        <v>30</v>
      </c>
      <c r="H26" s="188">
        <v>1</v>
      </c>
      <c r="I26" s="188">
        <f>B26</f>
        <v>1</v>
      </c>
      <c r="J26" s="188" t="s">
        <v>31</v>
      </c>
      <c r="K26" s="188" t="s">
        <v>31</v>
      </c>
      <c r="L26" s="188" t="s">
        <v>31</v>
      </c>
      <c r="M26" s="188" t="s">
        <v>31</v>
      </c>
      <c r="N26" s="188"/>
      <c r="O26" s="188"/>
      <c r="P26" s="188"/>
      <c r="Q26" s="188"/>
      <c r="R26" s="188"/>
      <c r="S26" s="188"/>
      <c r="T26" s="188"/>
      <c r="U26" s="188"/>
    </row>
    <row r="27" spans="1:21">
      <c r="A27" s="88" t="s">
        <v>614</v>
      </c>
      <c r="B27" s="188">
        <f>P27</f>
        <v>0.47</v>
      </c>
      <c r="C27" s="188" t="s">
        <v>37</v>
      </c>
      <c r="D27" s="188" t="s">
        <v>40</v>
      </c>
      <c r="E27" s="188" t="s">
        <v>29</v>
      </c>
      <c r="F27" s="188" t="s">
        <v>59</v>
      </c>
      <c r="G27" s="188" t="s">
        <v>33</v>
      </c>
      <c r="H27" s="188">
        <v>1</v>
      </c>
      <c r="I27" s="188">
        <f>B27</f>
        <v>0.47</v>
      </c>
      <c r="J27" s="188" t="s">
        <v>31</v>
      </c>
      <c r="K27" s="188" t="s">
        <v>31</v>
      </c>
      <c r="L27" s="188" t="s">
        <v>31</v>
      </c>
      <c r="M27" s="188" t="s">
        <v>31</v>
      </c>
      <c r="N27" s="188"/>
      <c r="O27" s="188" t="s">
        <v>241</v>
      </c>
      <c r="P27" s="188">
        <v>0.47</v>
      </c>
      <c r="Q27" s="188"/>
      <c r="R27" s="188"/>
      <c r="S27" s="188"/>
      <c r="T27" s="188"/>
      <c r="U27" s="188"/>
    </row>
    <row r="28" spans="1:21">
      <c r="A28" s="88" t="s">
        <v>913</v>
      </c>
      <c r="B28" s="188">
        <f>R28</f>
        <v>0.312</v>
      </c>
      <c r="C28" s="188" t="s">
        <v>37</v>
      </c>
      <c r="D28" s="188" t="s">
        <v>40</v>
      </c>
      <c r="E28" s="188" t="s">
        <v>29</v>
      </c>
      <c r="F28" s="188" t="s">
        <v>59</v>
      </c>
      <c r="G28" s="188" t="s">
        <v>33</v>
      </c>
      <c r="H28" s="188">
        <v>2</v>
      </c>
      <c r="I28" s="188">
        <f>LN(B28)</f>
        <v>-1.1647520911726548</v>
      </c>
      <c r="J28" s="188">
        <v>3.7749172176353707E-2</v>
      </c>
      <c r="K28" s="188" t="s">
        <v>31</v>
      </c>
      <c r="L28" s="188" t="s">
        <v>31</v>
      </c>
      <c r="M28" s="188" t="s">
        <v>31</v>
      </c>
      <c r="N28" s="188"/>
      <c r="O28" s="401" t="s">
        <v>580</v>
      </c>
      <c r="P28" s="414">
        <v>312</v>
      </c>
      <c r="Q28" s="188" t="s">
        <v>241</v>
      </c>
      <c r="R28" s="188">
        <f>P28*0.001</f>
        <v>0.312</v>
      </c>
      <c r="S28" s="188"/>
      <c r="T28" s="188"/>
      <c r="U28" s="188"/>
    </row>
    <row r="29" spans="1:21">
      <c r="A29" s="88" t="s">
        <v>914</v>
      </c>
      <c r="B29" s="188">
        <f>R29</f>
        <v>1.8600000000000002E-2</v>
      </c>
      <c r="C29" s="188" t="s">
        <v>37</v>
      </c>
      <c r="D29" s="188" t="s">
        <v>40</v>
      </c>
      <c r="E29" s="188" t="s">
        <v>29</v>
      </c>
      <c r="F29" s="188" t="s">
        <v>59</v>
      </c>
      <c r="G29" s="188" t="s">
        <v>33</v>
      </c>
      <c r="H29" s="188">
        <v>2</v>
      </c>
      <c r="I29" s="188">
        <f>LN(B29)</f>
        <v>-3.9845936982629815</v>
      </c>
      <c r="J29" s="188">
        <v>3.7749172176353707E-2</v>
      </c>
      <c r="K29" s="188" t="s">
        <v>31</v>
      </c>
      <c r="L29" s="188" t="s">
        <v>31</v>
      </c>
      <c r="M29" s="188" t="s">
        <v>31</v>
      </c>
      <c r="N29" s="188"/>
      <c r="O29" s="401" t="s">
        <v>580</v>
      </c>
      <c r="P29" s="414">
        <v>18.600000000000001</v>
      </c>
      <c r="Q29" s="188" t="s">
        <v>241</v>
      </c>
      <c r="R29" s="188">
        <f t="shared" ref="R29:R30" si="0">P29*0.001</f>
        <v>1.8600000000000002E-2</v>
      </c>
      <c r="S29" s="188"/>
      <c r="T29" s="188"/>
      <c r="U29" s="188"/>
    </row>
    <row r="30" spans="1:21">
      <c r="A30" s="88" t="s">
        <v>915</v>
      </c>
      <c r="B30" s="188">
        <f>R30</f>
        <v>0.14100000000000001</v>
      </c>
      <c r="C30" s="188" t="s">
        <v>37</v>
      </c>
      <c r="D30" s="188" t="s">
        <v>40</v>
      </c>
      <c r="E30" s="188" t="s">
        <v>29</v>
      </c>
      <c r="F30" s="188" t="s">
        <v>59</v>
      </c>
      <c r="G30" s="188" t="s">
        <v>33</v>
      </c>
      <c r="H30" s="188">
        <v>2</v>
      </c>
      <c r="I30" s="188">
        <f>LN(B30)</f>
        <v>-1.9589953886039686</v>
      </c>
      <c r="J30" s="188">
        <v>3.7749172176353707E-2</v>
      </c>
      <c r="K30" s="188" t="s">
        <v>31</v>
      </c>
      <c r="L30" s="188" t="s">
        <v>31</v>
      </c>
      <c r="M30" s="188" t="s">
        <v>31</v>
      </c>
      <c r="N30" s="188"/>
      <c r="O30" s="401" t="s">
        <v>580</v>
      </c>
      <c r="P30" s="414">
        <v>141</v>
      </c>
      <c r="Q30" s="188" t="s">
        <v>241</v>
      </c>
      <c r="R30" s="188">
        <f t="shared" si="0"/>
        <v>0.14100000000000001</v>
      </c>
      <c r="S30" s="188"/>
      <c r="T30" s="188"/>
      <c r="U30" s="188"/>
    </row>
    <row r="31" spans="1:21">
      <c r="A31" s="370" t="s">
        <v>5</v>
      </c>
      <c r="B31" s="371" t="s">
        <v>1091</v>
      </c>
      <c r="C31" s="372"/>
      <c r="D31" s="353"/>
      <c r="E31" s="353"/>
      <c r="F31" s="353"/>
      <c r="G31" s="353"/>
      <c r="H31" s="353"/>
      <c r="I31" s="353"/>
      <c r="J31" s="353"/>
      <c r="K31" s="353"/>
      <c r="L31" s="353"/>
      <c r="M31" s="353"/>
      <c r="N31" s="188"/>
      <c r="O31" s="188"/>
      <c r="P31" s="188"/>
      <c r="Q31" s="188"/>
      <c r="R31" s="188"/>
      <c r="S31" s="188"/>
      <c r="T31" s="188"/>
      <c r="U31" s="188"/>
    </row>
    <row r="32" spans="1:21">
      <c r="A32" s="346" t="s">
        <v>7</v>
      </c>
      <c r="B32" s="188" t="s">
        <v>786</v>
      </c>
      <c r="C32" s="345"/>
      <c r="D32" s="188"/>
      <c r="E32" s="188"/>
      <c r="F32" s="188"/>
      <c r="G32" s="188"/>
      <c r="H32" s="188"/>
      <c r="I32" s="188"/>
      <c r="J32" s="188"/>
      <c r="K32" s="188"/>
      <c r="L32" s="188"/>
      <c r="M32" s="188"/>
      <c r="N32" s="188"/>
      <c r="O32" s="188"/>
      <c r="P32" s="188"/>
      <c r="Q32" s="188"/>
      <c r="R32" s="188"/>
      <c r="S32" s="188"/>
      <c r="T32" s="188"/>
      <c r="U32" s="188"/>
    </row>
    <row r="33" spans="1:21">
      <c r="A33" s="346" t="s">
        <v>9</v>
      </c>
      <c r="B33" s="188" t="s">
        <v>1094</v>
      </c>
      <c r="C33" s="345"/>
      <c r="D33" s="188"/>
      <c r="E33" s="188"/>
      <c r="F33" s="188"/>
      <c r="G33" s="188"/>
      <c r="H33" s="188"/>
      <c r="I33" s="188"/>
      <c r="J33" s="188"/>
      <c r="K33" s="188"/>
      <c r="L33" s="188"/>
      <c r="M33" s="188"/>
      <c r="N33" s="188"/>
      <c r="O33" s="188"/>
      <c r="P33" s="188"/>
      <c r="Q33" s="188"/>
      <c r="R33" s="188"/>
      <c r="S33" s="188"/>
      <c r="T33" s="188"/>
      <c r="U33" s="188"/>
    </row>
    <row r="34" spans="1:21" ht="18" customHeight="1">
      <c r="A34" s="346" t="s">
        <v>11</v>
      </c>
      <c r="B34" s="347" t="s">
        <v>796</v>
      </c>
      <c r="C34" s="188"/>
      <c r="D34" s="188"/>
      <c r="E34" s="188"/>
      <c r="F34" s="188"/>
      <c r="G34" s="188"/>
      <c r="H34" s="188"/>
      <c r="I34" s="188"/>
      <c r="J34" s="188"/>
      <c r="K34" s="188"/>
      <c r="L34" s="188"/>
      <c r="M34" s="188"/>
      <c r="N34" s="188"/>
      <c r="O34" s="188"/>
      <c r="P34" s="188"/>
      <c r="Q34" s="188"/>
      <c r="R34" s="188"/>
      <c r="S34" s="188"/>
      <c r="T34" s="188"/>
      <c r="U34" s="188"/>
    </row>
    <row r="35" spans="1:21">
      <c r="A35" s="346"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46"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46"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46"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43"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43" t="s">
        <v>20</v>
      </c>
      <c r="B40" s="344" t="s">
        <v>21</v>
      </c>
      <c r="C40" s="344" t="s">
        <v>18</v>
      </c>
      <c r="D40" s="344" t="s">
        <v>22</v>
      </c>
      <c r="E40" s="344" t="s">
        <v>7</v>
      </c>
      <c r="F40" s="344" t="s">
        <v>13</v>
      </c>
      <c r="G40" s="344" t="s">
        <v>16</v>
      </c>
      <c r="H40" s="344" t="s">
        <v>23</v>
      </c>
      <c r="I40" s="344" t="s">
        <v>24</v>
      </c>
      <c r="J40" s="344" t="s">
        <v>25</v>
      </c>
      <c r="K40" s="344" t="s">
        <v>26</v>
      </c>
      <c r="L40" s="344" t="s">
        <v>27</v>
      </c>
      <c r="M40" s="344" t="s">
        <v>28</v>
      </c>
      <c r="N40" s="344" t="s">
        <v>11</v>
      </c>
      <c r="O40" s="188"/>
      <c r="P40" s="188"/>
      <c r="Q40" s="188"/>
      <c r="R40" s="188"/>
      <c r="S40" s="188"/>
      <c r="T40" s="188"/>
      <c r="U40" s="188"/>
    </row>
    <row r="41" spans="1:21">
      <c r="A41" s="188" t="s">
        <v>1091</v>
      </c>
      <c r="B41" s="188">
        <v>1</v>
      </c>
      <c r="C41" s="188" t="s">
        <v>18</v>
      </c>
      <c r="D41" s="408" t="s">
        <v>2</v>
      </c>
      <c r="E41" s="188" t="s">
        <v>29</v>
      </c>
      <c r="F41" s="37" t="s">
        <v>14</v>
      </c>
      <c r="G41" s="188" t="s">
        <v>30</v>
      </c>
      <c r="H41" s="188">
        <v>1</v>
      </c>
      <c r="I41" s="188">
        <f>B41</f>
        <v>1</v>
      </c>
      <c r="J41" s="188" t="s">
        <v>31</v>
      </c>
      <c r="K41" s="188" t="s">
        <v>31</v>
      </c>
      <c r="L41" s="188" t="s">
        <v>31</v>
      </c>
      <c r="M41" s="188" t="s">
        <v>31</v>
      </c>
      <c r="N41" s="188"/>
      <c r="O41" s="188"/>
      <c r="P41" s="188"/>
      <c r="Q41" s="188"/>
      <c r="R41" s="188"/>
      <c r="S41" s="188"/>
      <c r="T41" s="188"/>
      <c r="U41" s="188"/>
    </row>
    <row r="42" spans="1:21">
      <c r="A42" s="88" t="s">
        <v>1095</v>
      </c>
      <c r="B42" s="188">
        <f>B55</f>
        <v>0.16700000000000001</v>
      </c>
      <c r="C42" s="188" t="s">
        <v>37</v>
      </c>
      <c r="D42" s="408" t="s">
        <v>2</v>
      </c>
      <c r="E42" s="188" t="s">
        <v>29</v>
      </c>
      <c r="F42" s="37" t="s">
        <v>14</v>
      </c>
      <c r="G42" s="188" t="s">
        <v>33</v>
      </c>
      <c r="H42" s="188">
        <v>1</v>
      </c>
      <c r="I42" s="188">
        <f>B42</f>
        <v>0.16700000000000001</v>
      </c>
      <c r="J42" s="188" t="s">
        <v>31</v>
      </c>
      <c r="K42" s="188" t="s">
        <v>31</v>
      </c>
      <c r="L42" s="188" t="s">
        <v>31</v>
      </c>
      <c r="M42" s="188" t="s">
        <v>31</v>
      </c>
      <c r="N42" s="188"/>
      <c r="O42" s="192"/>
      <c r="P42" s="421"/>
      <c r="Q42" s="188"/>
      <c r="R42" s="188"/>
      <c r="S42" s="188"/>
      <c r="T42" s="188"/>
      <c r="U42" s="188"/>
    </row>
    <row r="43" spans="1:21">
      <c r="A43" s="88" t="s">
        <v>1096</v>
      </c>
      <c r="B43" s="188">
        <v>1</v>
      </c>
      <c r="C43" s="188" t="s">
        <v>18</v>
      </c>
      <c r="D43" s="408" t="s">
        <v>2</v>
      </c>
      <c r="E43" s="188" t="s">
        <v>29</v>
      </c>
      <c r="F43" s="37" t="s">
        <v>14</v>
      </c>
      <c r="G43" s="188" t="s">
        <v>33</v>
      </c>
      <c r="H43" s="188">
        <v>1</v>
      </c>
      <c r="I43" s="188">
        <f>B43</f>
        <v>1</v>
      </c>
      <c r="J43" s="188" t="s">
        <v>31</v>
      </c>
      <c r="K43" s="188" t="s">
        <v>31</v>
      </c>
      <c r="L43" s="188" t="s">
        <v>31</v>
      </c>
      <c r="M43" s="188" t="s">
        <v>31</v>
      </c>
      <c r="N43" s="188"/>
      <c r="O43" s="188"/>
      <c r="P43" s="188"/>
      <c r="Q43" s="188"/>
      <c r="R43" s="188"/>
      <c r="S43" s="188"/>
      <c r="T43" s="188"/>
      <c r="U43" s="188"/>
    </row>
    <row r="44" spans="1:21">
      <c r="A44" s="346" t="s">
        <v>269</v>
      </c>
      <c r="B44" s="358">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N44" s="188"/>
      <c r="O44" s="383" t="s">
        <v>248</v>
      </c>
      <c r="P44" s="393">
        <v>0.03</v>
      </c>
      <c r="Q44" s="188" t="s">
        <v>248</v>
      </c>
      <c r="R44" s="358">
        <f>P44</f>
        <v>0.03</v>
      </c>
      <c r="S44" s="188"/>
      <c r="T44" s="188"/>
      <c r="U44" s="188"/>
    </row>
    <row r="45" spans="1:21">
      <c r="A45" s="370" t="s">
        <v>5</v>
      </c>
      <c r="B45" s="371" t="s">
        <v>1095</v>
      </c>
      <c r="C45" s="372"/>
      <c r="D45" s="353"/>
      <c r="E45" s="353"/>
      <c r="F45" s="353"/>
      <c r="G45" s="353"/>
      <c r="H45" s="353"/>
      <c r="I45" s="353"/>
      <c r="J45" s="353"/>
      <c r="K45" s="353"/>
      <c r="L45" s="353"/>
      <c r="M45" s="353"/>
      <c r="N45" s="188"/>
      <c r="O45" s="188"/>
      <c r="P45" s="188"/>
      <c r="Q45" s="188"/>
      <c r="R45" s="188"/>
      <c r="S45" s="188"/>
      <c r="T45" s="188"/>
      <c r="U45" s="188"/>
    </row>
    <row r="46" spans="1:21">
      <c r="A46" s="346" t="s">
        <v>7</v>
      </c>
      <c r="B46" s="188" t="s">
        <v>786</v>
      </c>
      <c r="C46" s="345"/>
      <c r="D46" s="188"/>
      <c r="E46" s="188"/>
      <c r="F46" s="188"/>
      <c r="G46" s="188"/>
      <c r="H46" s="188"/>
      <c r="I46" s="188"/>
      <c r="J46" s="188"/>
      <c r="K46" s="188"/>
      <c r="L46" s="188"/>
      <c r="M46" s="188"/>
      <c r="N46" s="188"/>
      <c r="O46" s="188"/>
      <c r="P46" s="188"/>
      <c r="Q46" s="188"/>
      <c r="R46" s="188"/>
      <c r="S46" s="188"/>
      <c r="T46" s="188"/>
      <c r="U46" s="188"/>
    </row>
    <row r="47" spans="1:21">
      <c r="A47" s="346" t="s">
        <v>9</v>
      </c>
      <c r="B47" s="188" t="s">
        <v>1097</v>
      </c>
      <c r="C47" s="345"/>
      <c r="D47" s="188"/>
      <c r="E47" s="188"/>
      <c r="F47" s="188"/>
      <c r="G47" s="188"/>
      <c r="H47" s="188"/>
      <c r="I47" s="188"/>
      <c r="J47" s="188"/>
      <c r="K47" s="188"/>
      <c r="L47" s="188"/>
      <c r="M47" s="188"/>
      <c r="N47" s="188"/>
      <c r="O47" s="188"/>
      <c r="P47" s="188"/>
      <c r="Q47" s="188"/>
      <c r="R47" s="188"/>
      <c r="S47" s="188"/>
      <c r="T47" s="188"/>
      <c r="U47" s="188"/>
    </row>
    <row r="48" spans="1:21" ht="11.25" customHeight="1">
      <c r="A48" s="346" t="s">
        <v>11</v>
      </c>
      <c r="B48" s="347" t="s">
        <v>796</v>
      </c>
      <c r="C48" s="188"/>
      <c r="D48" s="188"/>
      <c r="E48" s="188"/>
      <c r="F48" s="188"/>
      <c r="G48" s="188"/>
      <c r="H48" s="188"/>
      <c r="I48" s="188"/>
      <c r="J48" s="188"/>
      <c r="K48" s="188"/>
      <c r="L48" s="188"/>
      <c r="M48" s="188"/>
      <c r="N48" s="188"/>
      <c r="O48" s="188"/>
      <c r="P48" s="188"/>
      <c r="Q48" s="188"/>
      <c r="R48" s="188"/>
      <c r="S48" s="188"/>
      <c r="T48" s="188"/>
      <c r="U48" s="188"/>
    </row>
    <row r="49" spans="1:21">
      <c r="A49" s="346"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46" t="s">
        <v>15</v>
      </c>
      <c r="B50" s="188">
        <f>B55</f>
        <v>0.16700000000000001</v>
      </c>
      <c r="C50" s="188"/>
      <c r="D50" s="188"/>
      <c r="E50" s="188"/>
      <c r="F50" s="188"/>
      <c r="G50" s="188"/>
      <c r="H50" s="188"/>
      <c r="I50" s="188"/>
      <c r="J50" s="188"/>
      <c r="K50" s="188"/>
      <c r="L50" s="188"/>
      <c r="M50" s="188"/>
      <c r="N50" s="188"/>
      <c r="O50" s="188"/>
      <c r="P50" s="188"/>
      <c r="Q50" s="188"/>
      <c r="R50" s="188"/>
      <c r="S50" s="188"/>
      <c r="T50" s="188"/>
      <c r="U50" s="188"/>
    </row>
    <row r="51" spans="1:21">
      <c r="A51" s="346"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46" t="s">
        <v>18</v>
      </c>
      <c r="B52" s="188" t="s">
        <v>37</v>
      </c>
      <c r="C52" s="188"/>
      <c r="D52" s="188"/>
      <c r="E52" s="188"/>
      <c r="F52" s="188"/>
      <c r="G52" s="188"/>
      <c r="H52" s="188"/>
      <c r="I52" s="188"/>
      <c r="J52" s="188"/>
      <c r="K52" s="188"/>
      <c r="L52" s="188"/>
      <c r="M52" s="188"/>
      <c r="N52" s="188"/>
      <c r="O52" s="188"/>
      <c r="P52" s="188"/>
      <c r="Q52" s="188"/>
      <c r="R52" s="188"/>
      <c r="S52" s="188"/>
      <c r="T52" s="188"/>
      <c r="U52" s="188"/>
    </row>
    <row r="53" spans="1:21">
      <c r="A53" s="343"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43" t="s">
        <v>20</v>
      </c>
      <c r="B54" s="344" t="s">
        <v>21</v>
      </c>
      <c r="C54" s="344" t="s">
        <v>18</v>
      </c>
      <c r="D54" s="344" t="s">
        <v>22</v>
      </c>
      <c r="E54" s="344" t="s">
        <v>7</v>
      </c>
      <c r="F54" s="344" t="s">
        <v>13</v>
      </c>
      <c r="G54" s="344" t="s">
        <v>16</v>
      </c>
      <c r="H54" s="344" t="s">
        <v>23</v>
      </c>
      <c r="I54" s="344" t="s">
        <v>24</v>
      </c>
      <c r="J54" s="344" t="s">
        <v>25</v>
      </c>
      <c r="K54" s="344" t="s">
        <v>26</v>
      </c>
      <c r="L54" s="344" t="s">
        <v>27</v>
      </c>
      <c r="M54" s="344" t="s">
        <v>28</v>
      </c>
      <c r="N54" s="344" t="s">
        <v>11</v>
      </c>
      <c r="O54" s="188"/>
      <c r="P54" s="188"/>
      <c r="Q54" s="188"/>
      <c r="R54" s="188"/>
      <c r="S54" s="188"/>
      <c r="T54" s="188"/>
      <c r="U54" s="188"/>
    </row>
    <row r="55" spans="1:21">
      <c r="A55" s="88" t="s">
        <v>1095</v>
      </c>
      <c r="B55" s="188">
        <f>P55</f>
        <v>0.16700000000000001</v>
      </c>
      <c r="C55" s="188" t="s">
        <v>37</v>
      </c>
      <c r="D55" s="408" t="s">
        <v>2</v>
      </c>
      <c r="E55" s="188" t="s">
        <v>29</v>
      </c>
      <c r="F55" s="37" t="s">
        <v>14</v>
      </c>
      <c r="G55" s="188" t="s">
        <v>30</v>
      </c>
      <c r="H55" s="188">
        <v>1</v>
      </c>
      <c r="I55" s="188">
        <f>B55</f>
        <v>0.16700000000000001</v>
      </c>
      <c r="J55" s="188" t="s">
        <v>31</v>
      </c>
      <c r="K55" s="188" t="s">
        <v>31</v>
      </c>
      <c r="L55" s="188" t="s">
        <v>31</v>
      </c>
      <c r="M55" s="188" t="s">
        <v>31</v>
      </c>
      <c r="N55" s="188"/>
      <c r="O55" s="482" t="s">
        <v>241</v>
      </c>
      <c r="P55" s="483">
        <v>0.16700000000000001</v>
      </c>
      <c r="Q55" s="188" t="s">
        <v>241</v>
      </c>
      <c r="R55" s="188">
        <f>P55</f>
        <v>0.16700000000000001</v>
      </c>
      <c r="S55" s="188"/>
      <c r="T55" s="188"/>
      <c r="U55" s="188"/>
    </row>
    <row r="56" spans="1:21">
      <c r="A56" s="88" t="s">
        <v>179</v>
      </c>
      <c r="B56" s="392">
        <f>R56</f>
        <v>0.16700000000000001</v>
      </c>
      <c r="C56" s="188" t="s">
        <v>37</v>
      </c>
      <c r="D56" s="188" t="s">
        <v>40</v>
      </c>
      <c r="E56" s="188" t="s">
        <v>29</v>
      </c>
      <c r="F56" s="37" t="s">
        <v>35</v>
      </c>
      <c r="G56" s="188" t="s">
        <v>33</v>
      </c>
      <c r="H56" s="188">
        <v>2</v>
      </c>
      <c r="I56" s="188">
        <f>LN(B56)</f>
        <v>-1.7897614665653818</v>
      </c>
      <c r="J56" s="188">
        <v>2.8722813232690055E-2</v>
      </c>
      <c r="K56" s="188" t="s">
        <v>31</v>
      </c>
      <c r="L56" s="188" t="s">
        <v>31</v>
      </c>
      <c r="M56" s="188" t="s">
        <v>31</v>
      </c>
      <c r="N56" s="188"/>
      <c r="O56" s="484" t="s">
        <v>241</v>
      </c>
      <c r="P56" s="138">
        <v>0.16700000000000001</v>
      </c>
      <c r="Q56" s="188" t="s">
        <v>241</v>
      </c>
      <c r="R56" s="392">
        <f>P56</f>
        <v>0.16700000000000001</v>
      </c>
      <c r="S56" s="188"/>
      <c r="T56" s="188"/>
      <c r="U56" s="188"/>
    </row>
    <row r="57" spans="1:21">
      <c r="A57" s="346" t="s">
        <v>269</v>
      </c>
      <c r="B57" s="350">
        <f>R57</f>
        <v>0.05</v>
      </c>
      <c r="C57" s="188" t="s">
        <v>39</v>
      </c>
      <c r="D57" s="188" t="s">
        <v>40</v>
      </c>
      <c r="E57" s="188" t="s">
        <v>29</v>
      </c>
      <c r="F57" s="37" t="s">
        <v>35</v>
      </c>
      <c r="G57" s="188" t="s">
        <v>33</v>
      </c>
      <c r="H57" s="188">
        <v>2</v>
      </c>
      <c r="I57" s="188">
        <f t="shared" ref="I57" si="2">LN(B57)</f>
        <v>-2.9957322735539909</v>
      </c>
      <c r="J57" s="188">
        <v>7.2284161474004766E-2</v>
      </c>
      <c r="K57" s="188" t="s">
        <v>31</v>
      </c>
      <c r="L57" s="188" t="s">
        <v>31</v>
      </c>
      <c r="M57" s="188" t="s">
        <v>31</v>
      </c>
      <c r="N57" s="188"/>
      <c r="O57" s="383" t="s">
        <v>248</v>
      </c>
      <c r="P57" s="138">
        <v>0.05</v>
      </c>
      <c r="Q57" s="188" t="s">
        <v>248</v>
      </c>
      <c r="R57" s="350">
        <f>P57</f>
        <v>0.05</v>
      </c>
      <c r="S57" s="188"/>
      <c r="T57" s="188"/>
      <c r="U57" s="188"/>
    </row>
    <row r="58" spans="1:21">
      <c r="A58" s="370" t="s">
        <v>5</v>
      </c>
      <c r="B58" s="106" t="s">
        <v>1096</v>
      </c>
      <c r="C58" s="372"/>
      <c r="D58" s="353"/>
      <c r="E58" s="353"/>
      <c r="F58" s="353"/>
      <c r="G58" s="353"/>
      <c r="H58" s="353"/>
      <c r="I58" s="353"/>
      <c r="J58" s="353"/>
      <c r="K58" s="353"/>
      <c r="L58" s="353"/>
      <c r="M58" s="353"/>
      <c r="N58" s="188"/>
      <c r="O58" s="188"/>
      <c r="P58" s="188"/>
      <c r="Q58" s="188"/>
      <c r="R58" s="188"/>
      <c r="S58" s="188"/>
      <c r="T58" s="188"/>
      <c r="U58" s="188"/>
    </row>
    <row r="59" spans="1:21">
      <c r="A59" s="346" t="s">
        <v>7</v>
      </c>
      <c r="B59" s="188" t="s">
        <v>786</v>
      </c>
      <c r="C59" s="345"/>
      <c r="D59" s="188"/>
      <c r="E59" s="188"/>
      <c r="F59" s="188"/>
      <c r="G59" s="188"/>
      <c r="H59" s="188"/>
      <c r="I59" s="188"/>
      <c r="J59" s="188"/>
      <c r="K59" s="188"/>
      <c r="L59" s="188"/>
      <c r="M59" s="188"/>
      <c r="N59" s="188"/>
      <c r="O59" s="188"/>
      <c r="P59" s="188"/>
      <c r="Q59" s="188"/>
      <c r="R59" s="188"/>
      <c r="S59" s="188"/>
      <c r="T59" s="188"/>
      <c r="U59" s="188"/>
    </row>
    <row r="60" spans="1:21">
      <c r="A60" s="424" t="s">
        <v>9</v>
      </c>
      <c r="B60" s="188" t="s">
        <v>1098</v>
      </c>
      <c r="C60" s="345"/>
      <c r="D60" s="188"/>
      <c r="E60" s="188"/>
      <c r="F60" s="188"/>
      <c r="G60" s="188"/>
      <c r="H60" s="188"/>
      <c r="I60" s="188"/>
      <c r="J60" s="188"/>
      <c r="K60" s="188"/>
      <c r="L60" s="188"/>
      <c r="M60" s="188"/>
      <c r="N60" s="188"/>
      <c r="O60" s="188"/>
      <c r="P60" s="188"/>
      <c r="Q60" s="188"/>
      <c r="R60" s="188"/>
      <c r="S60" s="188"/>
      <c r="T60" s="188"/>
      <c r="U60" s="188"/>
    </row>
    <row r="61" spans="1:21" ht="27.75" customHeight="1">
      <c r="A61" s="346" t="s">
        <v>11</v>
      </c>
      <c r="B61" s="347" t="s">
        <v>796</v>
      </c>
      <c r="C61" s="188"/>
      <c r="D61" s="188"/>
      <c r="E61" s="188"/>
      <c r="F61" s="188"/>
      <c r="G61" s="188"/>
      <c r="H61" s="188"/>
      <c r="I61" s="188"/>
      <c r="J61" s="188"/>
      <c r="K61" s="188"/>
      <c r="L61" s="188"/>
      <c r="M61" s="188"/>
      <c r="N61" s="188"/>
      <c r="O61" s="188"/>
      <c r="P61" s="188"/>
      <c r="Q61" s="188"/>
      <c r="R61" s="188"/>
      <c r="S61" s="188"/>
      <c r="T61" s="188"/>
      <c r="U61" s="188"/>
    </row>
    <row r="62" spans="1:21">
      <c r="A62" s="346"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46"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46"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46"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43"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43" t="s">
        <v>20</v>
      </c>
      <c r="B67" s="344" t="s">
        <v>21</v>
      </c>
      <c r="C67" s="344" t="s">
        <v>18</v>
      </c>
      <c r="D67" s="344" t="s">
        <v>22</v>
      </c>
      <c r="E67" s="344" t="s">
        <v>7</v>
      </c>
      <c r="F67" s="344" t="s">
        <v>13</v>
      </c>
      <c r="G67" s="344" t="s">
        <v>16</v>
      </c>
      <c r="H67" s="344" t="s">
        <v>23</v>
      </c>
      <c r="I67" s="344" t="s">
        <v>24</v>
      </c>
      <c r="J67" s="344" t="s">
        <v>25</v>
      </c>
      <c r="K67" s="344" t="s">
        <v>26</v>
      </c>
      <c r="L67" s="344" t="s">
        <v>27</v>
      </c>
      <c r="M67" s="344" t="s">
        <v>28</v>
      </c>
      <c r="N67" s="344" t="s">
        <v>11</v>
      </c>
      <c r="O67" s="188"/>
      <c r="P67" s="188"/>
      <c r="Q67" s="188"/>
      <c r="R67" s="188"/>
      <c r="S67" s="188"/>
      <c r="T67" s="188"/>
      <c r="U67" s="188"/>
    </row>
    <row r="68" spans="1:21">
      <c r="A68" s="88" t="s">
        <v>1096</v>
      </c>
      <c r="B68" s="188">
        <v>1</v>
      </c>
      <c r="C68" s="188" t="s">
        <v>18</v>
      </c>
      <c r="D68" s="408" t="s">
        <v>2</v>
      </c>
      <c r="E68" s="188" t="s">
        <v>29</v>
      </c>
      <c r="F68" s="37" t="s">
        <v>14</v>
      </c>
      <c r="G68" s="188" t="s">
        <v>30</v>
      </c>
      <c r="H68" s="188">
        <v>1</v>
      </c>
      <c r="I68" s="188">
        <f>B68</f>
        <v>1</v>
      </c>
      <c r="J68" s="188" t="s">
        <v>31</v>
      </c>
      <c r="K68" s="188" t="s">
        <v>31</v>
      </c>
      <c r="L68" s="188" t="s">
        <v>31</v>
      </c>
      <c r="M68" s="188" t="s">
        <v>31</v>
      </c>
      <c r="N68" s="188"/>
      <c r="O68" s="188"/>
      <c r="P68" s="188"/>
      <c r="Q68" s="188"/>
      <c r="R68" s="188"/>
      <c r="S68" s="188"/>
      <c r="T68" s="188"/>
      <c r="U68" s="188"/>
    </row>
    <row r="69" spans="1:21">
      <c r="A69" s="88" t="s">
        <v>1099</v>
      </c>
      <c r="B69" s="392">
        <f>B77</f>
        <v>0.09</v>
      </c>
      <c r="C69" s="188" t="s">
        <v>37</v>
      </c>
      <c r="D69" s="408" t="s">
        <v>2</v>
      </c>
      <c r="E69" s="188" t="s">
        <v>29</v>
      </c>
      <c r="F69" s="37" t="s">
        <v>14</v>
      </c>
      <c r="G69" s="188" t="s">
        <v>33</v>
      </c>
      <c r="H69" s="188">
        <v>1</v>
      </c>
      <c r="I69" s="188">
        <f>B69</f>
        <v>0.09</v>
      </c>
      <c r="J69" s="188" t="s">
        <v>31</v>
      </c>
      <c r="K69" s="188" t="s">
        <v>31</v>
      </c>
      <c r="L69" s="188" t="s">
        <v>31</v>
      </c>
      <c r="M69" s="188" t="s">
        <v>31</v>
      </c>
      <c r="N69" s="188"/>
      <c r="O69" s="383"/>
      <c r="P69" s="394"/>
      <c r="Q69" s="188" t="s">
        <v>241</v>
      </c>
      <c r="R69" s="392">
        <v>0.01</v>
      </c>
      <c r="S69" s="188"/>
      <c r="T69" s="188"/>
      <c r="U69" s="188"/>
    </row>
    <row r="70" spans="1:21">
      <c r="A70" s="88" t="s">
        <v>1100</v>
      </c>
      <c r="B70" s="350">
        <v>1</v>
      </c>
      <c r="C70" s="188" t="s">
        <v>18</v>
      </c>
      <c r="D70" s="408" t="s">
        <v>2</v>
      </c>
      <c r="E70" s="188" t="s">
        <v>29</v>
      </c>
      <c r="F70" s="37" t="s">
        <v>14</v>
      </c>
      <c r="G70" s="188" t="s">
        <v>33</v>
      </c>
      <c r="H70" s="188">
        <v>1</v>
      </c>
      <c r="I70" s="188">
        <f>B70</f>
        <v>1</v>
      </c>
      <c r="J70" s="188" t="s">
        <v>31</v>
      </c>
      <c r="K70" s="188" t="s">
        <v>31</v>
      </c>
      <c r="L70" s="188" t="s">
        <v>31</v>
      </c>
      <c r="M70" s="188" t="s">
        <v>31</v>
      </c>
      <c r="N70" s="188"/>
      <c r="O70" s="383"/>
      <c r="P70" s="440"/>
      <c r="Q70" s="188"/>
      <c r="R70" s="350"/>
      <c r="S70" s="188"/>
      <c r="T70" s="188"/>
      <c r="U70" s="188"/>
    </row>
    <row r="71" spans="1:21">
      <c r="A71" s="346" t="s">
        <v>269</v>
      </c>
      <c r="B71" s="350">
        <f>R71</f>
        <v>0.56999999999999995</v>
      </c>
      <c r="C71" s="188" t="s">
        <v>39</v>
      </c>
      <c r="D71" s="188" t="s">
        <v>40</v>
      </c>
      <c r="E71" s="188" t="s">
        <v>29</v>
      </c>
      <c r="F71" s="37" t="s">
        <v>35</v>
      </c>
      <c r="G71" s="188" t="s">
        <v>33</v>
      </c>
      <c r="H71" s="188">
        <v>2</v>
      </c>
      <c r="I71" s="188">
        <f t="shared" ref="I71" si="3">LN(B71)</f>
        <v>-0.56211891815354131</v>
      </c>
      <c r="J71" s="188">
        <v>7.2284161474004766E-2</v>
      </c>
      <c r="K71" s="188" t="s">
        <v>31</v>
      </c>
      <c r="L71" s="188" t="s">
        <v>31</v>
      </c>
      <c r="M71" s="188" t="s">
        <v>31</v>
      </c>
      <c r="N71" s="188"/>
      <c r="O71" s="383" t="s">
        <v>248</v>
      </c>
      <c r="P71" s="440">
        <v>0.56999999999999995</v>
      </c>
      <c r="Q71" s="188" t="s">
        <v>248</v>
      </c>
      <c r="R71" s="350">
        <f>P71</f>
        <v>0.56999999999999995</v>
      </c>
      <c r="S71" s="188"/>
      <c r="T71" s="188"/>
      <c r="U71" s="188"/>
    </row>
    <row r="72" spans="1:21">
      <c r="A72" s="370" t="s">
        <v>5</v>
      </c>
      <c r="B72" s="106" t="s">
        <v>1099</v>
      </c>
      <c r="C72" s="372"/>
      <c r="D72" s="353"/>
      <c r="E72" s="353"/>
      <c r="F72" s="353"/>
      <c r="G72" s="353"/>
      <c r="H72" s="353"/>
      <c r="I72" s="353"/>
      <c r="J72" s="353"/>
      <c r="K72" s="353"/>
      <c r="L72" s="353"/>
      <c r="M72" s="353"/>
      <c r="N72" s="188"/>
      <c r="O72" s="188"/>
      <c r="P72" s="188"/>
      <c r="Q72" s="188"/>
      <c r="R72" s="188"/>
      <c r="S72" s="188"/>
      <c r="T72" s="188"/>
      <c r="U72" s="188"/>
    </row>
    <row r="73" spans="1:21">
      <c r="A73" s="346" t="s">
        <v>7</v>
      </c>
      <c r="B73" s="188" t="s">
        <v>786</v>
      </c>
      <c r="C73" s="345"/>
      <c r="D73" s="188"/>
      <c r="E73" s="188"/>
      <c r="F73" s="188"/>
      <c r="G73" s="188"/>
      <c r="H73" s="188"/>
      <c r="I73" s="188"/>
      <c r="J73" s="188"/>
      <c r="K73" s="188"/>
      <c r="L73" s="188"/>
      <c r="M73" s="188"/>
      <c r="N73" s="188"/>
      <c r="O73" s="188"/>
      <c r="P73" s="188"/>
      <c r="Q73" s="188"/>
      <c r="R73" s="188"/>
      <c r="S73" s="188"/>
      <c r="T73" s="188"/>
      <c r="U73" s="188"/>
    </row>
    <row r="74" spans="1:21">
      <c r="A74" s="424" t="s">
        <v>9</v>
      </c>
      <c r="B74" s="188" t="s">
        <v>1101</v>
      </c>
      <c r="C74" s="345"/>
      <c r="D74" s="188"/>
      <c r="E74" s="188"/>
      <c r="F74" s="188"/>
      <c r="G74" s="188"/>
      <c r="H74" s="188"/>
      <c r="I74" s="188"/>
      <c r="J74" s="188"/>
      <c r="K74" s="188"/>
      <c r="L74" s="188"/>
      <c r="M74" s="188"/>
      <c r="N74" s="188"/>
      <c r="O74" s="188"/>
      <c r="P74" s="188"/>
      <c r="Q74" s="188"/>
      <c r="R74" s="188"/>
      <c r="S74" s="188"/>
      <c r="T74" s="188"/>
      <c r="U74" s="188"/>
    </row>
    <row r="75" spans="1:21" ht="15" customHeight="1">
      <c r="A75" s="346" t="s">
        <v>11</v>
      </c>
      <c r="B75" s="347" t="s">
        <v>796</v>
      </c>
      <c r="C75" s="188"/>
      <c r="D75" s="188"/>
      <c r="E75" s="188"/>
      <c r="F75" s="188"/>
      <c r="G75" s="188"/>
      <c r="H75" s="188"/>
      <c r="I75" s="188"/>
      <c r="J75" s="188"/>
      <c r="K75" s="188"/>
      <c r="L75" s="188"/>
      <c r="M75" s="188"/>
      <c r="N75" s="188"/>
      <c r="O75" s="188"/>
      <c r="P75" s="188"/>
      <c r="Q75" s="188"/>
      <c r="R75" s="188"/>
      <c r="S75" s="188"/>
      <c r="T75" s="188"/>
      <c r="U75" s="188"/>
    </row>
    <row r="76" spans="1:21">
      <c r="A76" s="346"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46" t="s">
        <v>15</v>
      </c>
      <c r="B77" s="358">
        <f>B82</f>
        <v>0.09</v>
      </c>
      <c r="C77" s="188"/>
      <c r="D77" s="188"/>
      <c r="E77" s="188"/>
      <c r="F77" s="188"/>
      <c r="G77" s="188"/>
      <c r="H77" s="188"/>
      <c r="I77" s="188"/>
      <c r="J77" s="188"/>
      <c r="K77" s="188"/>
      <c r="L77" s="188"/>
      <c r="M77" s="188"/>
      <c r="N77" s="188"/>
      <c r="O77" s="188"/>
      <c r="P77" s="188"/>
      <c r="Q77" s="188"/>
      <c r="R77" s="188"/>
      <c r="S77" s="188"/>
      <c r="T77" s="188"/>
      <c r="U77" s="188"/>
    </row>
    <row r="78" spans="1:21">
      <c r="A78" s="346"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46"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43"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43" t="s">
        <v>20</v>
      </c>
      <c r="B81" s="344" t="s">
        <v>21</v>
      </c>
      <c r="C81" s="344" t="s">
        <v>18</v>
      </c>
      <c r="D81" s="344" t="s">
        <v>22</v>
      </c>
      <c r="E81" s="344" t="s">
        <v>7</v>
      </c>
      <c r="F81" s="344" t="s">
        <v>13</v>
      </c>
      <c r="G81" s="344" t="s">
        <v>16</v>
      </c>
      <c r="H81" s="344" t="s">
        <v>23</v>
      </c>
      <c r="I81" s="344" t="s">
        <v>24</v>
      </c>
      <c r="J81" s="344" t="s">
        <v>25</v>
      </c>
      <c r="K81" s="344" t="s">
        <v>26</v>
      </c>
      <c r="L81" s="344" t="s">
        <v>27</v>
      </c>
      <c r="M81" s="344" t="s">
        <v>28</v>
      </c>
      <c r="N81" s="344" t="s">
        <v>11</v>
      </c>
      <c r="O81" s="188"/>
      <c r="P81" s="188"/>
      <c r="Q81" s="188"/>
      <c r="R81" s="188"/>
      <c r="S81" s="188"/>
      <c r="T81" s="188"/>
      <c r="U81" s="188"/>
    </row>
    <row r="82" spans="1:21">
      <c r="A82" s="88" t="s">
        <v>1099</v>
      </c>
      <c r="B82" s="188">
        <v>0.09</v>
      </c>
      <c r="C82" s="188" t="s">
        <v>37</v>
      </c>
      <c r="D82" s="408" t="s">
        <v>2</v>
      </c>
      <c r="E82" s="188" t="s">
        <v>29</v>
      </c>
      <c r="F82" s="37" t="s">
        <v>14</v>
      </c>
      <c r="G82" s="188" t="s">
        <v>30</v>
      </c>
      <c r="H82" s="188">
        <v>1</v>
      </c>
      <c r="I82" s="188">
        <f>B82</f>
        <v>0.09</v>
      </c>
      <c r="J82" s="188" t="s">
        <v>31</v>
      </c>
      <c r="K82" s="188" t="s">
        <v>31</v>
      </c>
      <c r="L82" s="188" t="s">
        <v>31</v>
      </c>
      <c r="M82" s="188" t="s">
        <v>31</v>
      </c>
      <c r="N82" s="188"/>
      <c r="O82" s="383"/>
      <c r="P82" s="394"/>
      <c r="Q82" s="188" t="s">
        <v>241</v>
      </c>
      <c r="R82" s="392">
        <v>0.01</v>
      </c>
      <c r="S82" s="188"/>
      <c r="T82" s="188"/>
      <c r="U82" s="188"/>
    </row>
    <row r="83" spans="1:21">
      <c r="A83" s="88" t="s">
        <v>653</v>
      </c>
      <c r="B83" s="188">
        <v>0.09</v>
      </c>
      <c r="C83" s="188" t="s">
        <v>37</v>
      </c>
      <c r="D83" s="188" t="s">
        <v>40</v>
      </c>
      <c r="E83" s="188" t="s">
        <v>29</v>
      </c>
      <c r="F83" s="37" t="s">
        <v>59</v>
      </c>
      <c r="G83" s="188" t="s">
        <v>33</v>
      </c>
      <c r="H83" s="188">
        <v>1</v>
      </c>
      <c r="I83" s="188">
        <f>B83</f>
        <v>0.09</v>
      </c>
      <c r="J83" s="188" t="s">
        <v>31</v>
      </c>
      <c r="K83" s="188" t="s">
        <v>31</v>
      </c>
      <c r="L83" s="188" t="s">
        <v>31</v>
      </c>
      <c r="M83" s="188" t="s">
        <v>31</v>
      </c>
      <c r="N83" s="188"/>
      <c r="O83" s="383"/>
      <c r="P83" s="440"/>
      <c r="Q83" s="188"/>
      <c r="R83" s="350"/>
      <c r="S83" s="188"/>
      <c r="T83" s="188"/>
      <c r="U83" s="188"/>
    </row>
    <row r="84" spans="1:21">
      <c r="A84" s="88" t="s">
        <v>707</v>
      </c>
      <c r="B84" s="188">
        <v>0.09</v>
      </c>
      <c r="C84" s="188" t="s">
        <v>37</v>
      </c>
      <c r="D84" s="188" t="s">
        <v>40</v>
      </c>
      <c r="E84" s="188" t="s">
        <v>29</v>
      </c>
      <c r="F84" s="188" t="s">
        <v>59</v>
      </c>
      <c r="G84" s="188" t="s">
        <v>33</v>
      </c>
      <c r="H84" s="188">
        <v>1</v>
      </c>
      <c r="I84" s="188">
        <f>B84</f>
        <v>0.09</v>
      </c>
      <c r="J84" s="188" t="s">
        <v>31</v>
      </c>
      <c r="K84" s="188" t="s">
        <v>31</v>
      </c>
      <c r="L84" s="188" t="s">
        <v>31</v>
      </c>
      <c r="M84" s="188" t="s">
        <v>31</v>
      </c>
      <c r="N84" s="188"/>
      <c r="O84" s="188"/>
      <c r="P84" s="188"/>
      <c r="Q84" s="188"/>
      <c r="R84" s="188"/>
      <c r="S84" s="188"/>
      <c r="T84" s="188"/>
      <c r="U84" s="188"/>
    </row>
    <row r="85" spans="1:21" s="70" customFormat="1">
      <c r="A85" s="370" t="s">
        <v>5</v>
      </c>
      <c r="B85" s="106" t="s">
        <v>1100</v>
      </c>
      <c r="C85" s="372"/>
      <c r="D85" s="353"/>
      <c r="E85" s="353"/>
      <c r="F85" s="353"/>
      <c r="G85" s="353"/>
      <c r="H85" s="353"/>
      <c r="I85" s="353"/>
      <c r="J85" s="353"/>
      <c r="K85" s="353"/>
      <c r="L85" s="353"/>
      <c r="M85" s="353"/>
      <c r="N85" s="353"/>
      <c r="O85" s="353"/>
      <c r="P85" s="353"/>
      <c r="Q85" s="353"/>
      <c r="R85" s="353"/>
      <c r="S85" s="353"/>
      <c r="T85" s="353"/>
      <c r="U85" s="353"/>
    </row>
    <row r="86" spans="1:21">
      <c r="A86" s="346" t="s">
        <v>7</v>
      </c>
      <c r="B86" s="188" t="s">
        <v>786</v>
      </c>
      <c r="C86" s="345"/>
      <c r="D86" s="188"/>
      <c r="E86" s="188"/>
      <c r="F86" s="188"/>
      <c r="G86" s="188"/>
      <c r="H86" s="188"/>
      <c r="I86" s="188"/>
      <c r="J86" s="188"/>
      <c r="K86" s="188"/>
      <c r="L86" s="188"/>
      <c r="M86" s="188"/>
      <c r="N86" s="188"/>
      <c r="O86" s="188"/>
      <c r="P86" s="188"/>
      <c r="Q86" s="188"/>
      <c r="R86" s="188"/>
      <c r="S86" s="188"/>
      <c r="T86" s="188"/>
      <c r="U86" s="188"/>
    </row>
    <row r="87" spans="1:21">
      <c r="A87" s="424" t="s">
        <v>9</v>
      </c>
      <c r="B87" s="188" t="s">
        <v>1102</v>
      </c>
      <c r="C87" s="345"/>
      <c r="D87" s="188"/>
      <c r="E87" s="188"/>
      <c r="F87" s="188"/>
      <c r="G87" s="188"/>
      <c r="H87" s="188"/>
      <c r="I87" s="188"/>
      <c r="J87" s="188"/>
      <c r="K87" s="188"/>
      <c r="L87" s="188"/>
      <c r="M87" s="188"/>
      <c r="N87" s="188"/>
      <c r="O87" s="188"/>
      <c r="P87" s="188"/>
      <c r="Q87" s="188"/>
      <c r="R87" s="188"/>
      <c r="S87" s="188"/>
      <c r="T87" s="188"/>
      <c r="U87" s="188"/>
    </row>
    <row r="88" spans="1:21" ht="15.75" customHeight="1">
      <c r="A88" s="346" t="s">
        <v>11</v>
      </c>
      <c r="B88" s="347" t="s">
        <v>796</v>
      </c>
      <c r="C88" s="188"/>
      <c r="D88" s="188"/>
      <c r="E88" s="188"/>
      <c r="F88" s="188"/>
      <c r="G88" s="188"/>
      <c r="H88" s="188"/>
      <c r="I88" s="188"/>
      <c r="J88" s="188"/>
      <c r="K88" s="188"/>
      <c r="L88" s="188"/>
      <c r="M88" s="188"/>
      <c r="N88" s="188"/>
      <c r="O88" s="188"/>
      <c r="P88" s="188"/>
      <c r="Q88" s="188"/>
      <c r="R88" s="188"/>
      <c r="S88" s="188"/>
      <c r="T88" s="188"/>
      <c r="U88" s="188"/>
    </row>
    <row r="89" spans="1:21">
      <c r="A89" s="346"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46"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46"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46"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43"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43" t="s">
        <v>20</v>
      </c>
      <c r="B94" s="344" t="s">
        <v>21</v>
      </c>
      <c r="C94" s="344" t="s">
        <v>18</v>
      </c>
      <c r="D94" s="344" t="s">
        <v>22</v>
      </c>
      <c r="E94" s="344" t="s">
        <v>7</v>
      </c>
      <c r="F94" s="344" t="s">
        <v>13</v>
      </c>
      <c r="G94" s="344" t="s">
        <v>16</v>
      </c>
      <c r="H94" s="344" t="s">
        <v>23</v>
      </c>
      <c r="I94" s="344" t="s">
        <v>24</v>
      </c>
      <c r="J94" s="344" t="s">
        <v>25</v>
      </c>
      <c r="K94" s="344" t="s">
        <v>26</v>
      </c>
      <c r="L94" s="344" t="s">
        <v>27</v>
      </c>
      <c r="M94" s="344" t="s">
        <v>28</v>
      </c>
      <c r="N94" s="344" t="s">
        <v>11</v>
      </c>
      <c r="O94" s="188"/>
      <c r="P94" s="188"/>
      <c r="Q94" s="188"/>
      <c r="R94" s="188"/>
      <c r="S94" s="188"/>
      <c r="T94" s="188"/>
      <c r="U94" s="188"/>
    </row>
    <row r="95" spans="1:21">
      <c r="A95" s="88" t="s">
        <v>1100</v>
      </c>
      <c r="B95" s="350">
        <v>1</v>
      </c>
      <c r="C95" s="188" t="s">
        <v>18</v>
      </c>
      <c r="D95" s="408" t="s">
        <v>2</v>
      </c>
      <c r="E95" s="188" t="s">
        <v>29</v>
      </c>
      <c r="F95" s="37" t="s">
        <v>14</v>
      </c>
      <c r="G95" s="188" t="s">
        <v>30</v>
      </c>
      <c r="H95" s="188">
        <v>1</v>
      </c>
      <c r="I95" s="188">
        <f>B95</f>
        <v>1</v>
      </c>
      <c r="J95" s="188" t="s">
        <v>31</v>
      </c>
      <c r="K95" s="188" t="s">
        <v>31</v>
      </c>
      <c r="L95" s="188" t="s">
        <v>31</v>
      </c>
      <c r="M95" s="188" t="s">
        <v>31</v>
      </c>
      <c r="N95" s="188"/>
      <c r="O95" s="383"/>
      <c r="P95" s="440"/>
      <c r="Q95" s="188"/>
      <c r="R95" s="350"/>
      <c r="S95" s="188"/>
      <c r="T95" s="188"/>
      <c r="U95" s="188"/>
    </row>
    <row r="96" spans="1:21">
      <c r="A96" s="88" t="s">
        <v>1103</v>
      </c>
      <c r="B96" s="188">
        <v>1</v>
      </c>
      <c r="C96" s="188" t="s">
        <v>18</v>
      </c>
      <c r="D96" s="408" t="s">
        <v>2</v>
      </c>
      <c r="E96" s="188" t="s">
        <v>29</v>
      </c>
      <c r="F96" s="37" t="s">
        <v>14</v>
      </c>
      <c r="G96" s="188" t="s">
        <v>33</v>
      </c>
      <c r="H96" s="188">
        <v>1</v>
      </c>
      <c r="I96" s="188">
        <f>B96</f>
        <v>1</v>
      </c>
      <c r="J96" s="188" t="s">
        <v>31</v>
      </c>
      <c r="K96" s="188" t="s">
        <v>31</v>
      </c>
      <c r="L96" s="188" t="s">
        <v>31</v>
      </c>
      <c r="M96" s="188" t="s">
        <v>31</v>
      </c>
      <c r="N96" s="188"/>
      <c r="O96" s="383"/>
      <c r="P96" s="440"/>
      <c r="Q96" s="188"/>
      <c r="R96" s="188"/>
      <c r="S96" s="188"/>
      <c r="T96" s="188"/>
      <c r="U96" s="188"/>
    </row>
    <row r="97" spans="1:21">
      <c r="A97" s="346" t="s">
        <v>269</v>
      </c>
      <c r="B97" s="350">
        <f>R97</f>
        <v>0.05</v>
      </c>
      <c r="C97" s="188" t="s">
        <v>39</v>
      </c>
      <c r="D97" s="188" t="s">
        <v>40</v>
      </c>
      <c r="E97" s="188" t="s">
        <v>29</v>
      </c>
      <c r="F97" s="37" t="s">
        <v>35</v>
      </c>
      <c r="G97" s="188" t="s">
        <v>33</v>
      </c>
      <c r="H97" s="188">
        <v>2</v>
      </c>
      <c r="I97" s="188">
        <f t="shared" ref="I97" si="4">LN(B97)</f>
        <v>-2.9957322735539909</v>
      </c>
      <c r="J97" s="188">
        <v>7.2284161474004766E-2</v>
      </c>
      <c r="K97" s="188" t="s">
        <v>31</v>
      </c>
      <c r="L97" s="188" t="s">
        <v>31</v>
      </c>
      <c r="M97" s="188" t="s">
        <v>31</v>
      </c>
      <c r="N97" s="188"/>
      <c r="O97" s="383" t="s">
        <v>248</v>
      </c>
      <c r="P97" s="440">
        <v>0.05</v>
      </c>
      <c r="Q97" s="188" t="s">
        <v>248</v>
      </c>
      <c r="R97" s="350">
        <f>P97</f>
        <v>0.05</v>
      </c>
      <c r="S97" s="188"/>
      <c r="T97" s="188"/>
      <c r="U97" s="188"/>
    </row>
    <row r="98" spans="1:21" s="70" customFormat="1">
      <c r="A98" s="370" t="s">
        <v>5</v>
      </c>
      <c r="B98" s="106" t="s">
        <v>1103</v>
      </c>
      <c r="C98" s="372"/>
      <c r="D98" s="353"/>
      <c r="E98" s="353"/>
      <c r="F98" s="353"/>
      <c r="G98" s="353"/>
      <c r="H98" s="353"/>
      <c r="I98" s="353"/>
      <c r="J98" s="353"/>
      <c r="K98" s="353"/>
      <c r="L98" s="353"/>
      <c r="M98" s="353"/>
      <c r="N98" s="353"/>
      <c r="O98" s="353"/>
      <c r="P98" s="353"/>
      <c r="Q98" s="353"/>
      <c r="R98" s="353"/>
      <c r="S98" s="353"/>
      <c r="T98" s="353"/>
      <c r="U98" s="353"/>
    </row>
    <row r="99" spans="1:21">
      <c r="A99" s="346" t="s">
        <v>7</v>
      </c>
      <c r="B99" s="188" t="s">
        <v>786</v>
      </c>
      <c r="C99" s="345"/>
      <c r="D99" s="188"/>
      <c r="E99" s="188"/>
      <c r="F99" s="188"/>
      <c r="G99" s="188"/>
      <c r="H99" s="188"/>
      <c r="I99" s="188"/>
      <c r="J99" s="188"/>
      <c r="K99" s="188"/>
      <c r="L99" s="188"/>
      <c r="M99" s="188"/>
      <c r="N99" s="188"/>
      <c r="O99" s="188"/>
      <c r="P99" s="188"/>
      <c r="Q99" s="188"/>
      <c r="R99" s="188"/>
      <c r="S99" s="188"/>
      <c r="T99" s="188"/>
      <c r="U99" s="188"/>
    </row>
    <row r="100" spans="1:21">
      <c r="A100" s="424" t="s">
        <v>9</v>
      </c>
      <c r="B100" s="188" t="s">
        <v>1104</v>
      </c>
      <c r="C100" s="345"/>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46" t="s">
        <v>11</v>
      </c>
      <c r="B101" s="347" t="s">
        <v>796</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46"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46"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46"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46"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43"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43" t="s">
        <v>20</v>
      </c>
      <c r="B107" s="344" t="s">
        <v>21</v>
      </c>
      <c r="C107" s="344" t="s">
        <v>18</v>
      </c>
      <c r="D107" s="344" t="s">
        <v>22</v>
      </c>
      <c r="E107" s="344" t="s">
        <v>7</v>
      </c>
      <c r="F107" s="344" t="s">
        <v>13</v>
      </c>
      <c r="G107" s="344" t="s">
        <v>16</v>
      </c>
      <c r="H107" s="344" t="s">
        <v>23</v>
      </c>
      <c r="I107" s="344" t="s">
        <v>24</v>
      </c>
      <c r="J107" s="344" t="s">
        <v>25</v>
      </c>
      <c r="K107" s="344" t="s">
        <v>26</v>
      </c>
      <c r="L107" s="344" t="s">
        <v>27</v>
      </c>
      <c r="M107" s="344" t="s">
        <v>28</v>
      </c>
      <c r="N107" s="344" t="s">
        <v>11</v>
      </c>
      <c r="O107" s="188"/>
      <c r="P107" s="188"/>
      <c r="Q107" s="188"/>
      <c r="R107" s="188"/>
      <c r="S107" s="188"/>
      <c r="T107" s="188"/>
      <c r="U107" s="188"/>
    </row>
    <row r="108" spans="1:21">
      <c r="A108" s="88" t="s">
        <v>1103</v>
      </c>
      <c r="B108" s="188">
        <v>1</v>
      </c>
      <c r="C108" s="188" t="s">
        <v>18</v>
      </c>
      <c r="D108" s="188" t="s">
        <v>2</v>
      </c>
      <c r="E108" s="188" t="s">
        <v>29</v>
      </c>
      <c r="F108" s="37" t="s">
        <v>14</v>
      </c>
      <c r="G108" s="188" t="s">
        <v>30</v>
      </c>
      <c r="H108" s="188">
        <v>1</v>
      </c>
      <c r="I108" s="188">
        <f>B108</f>
        <v>1</v>
      </c>
      <c r="J108" s="188" t="s">
        <v>31</v>
      </c>
      <c r="K108" s="188" t="s">
        <v>31</v>
      </c>
      <c r="L108" s="188" t="s">
        <v>31</v>
      </c>
      <c r="M108" s="188" t="s">
        <v>31</v>
      </c>
      <c r="N108" s="188"/>
      <c r="O108" s="188"/>
      <c r="P108" s="468"/>
      <c r="Q108" s="188"/>
      <c r="R108" s="188"/>
      <c r="S108" s="188"/>
      <c r="T108" s="188"/>
      <c r="U108" s="188"/>
    </row>
    <row r="109" spans="1:21">
      <c r="A109" s="346" t="s">
        <v>1105</v>
      </c>
      <c r="B109" s="441">
        <f>B133</f>
        <v>0.1</v>
      </c>
      <c r="C109" s="188" t="s">
        <v>609</v>
      </c>
      <c r="D109" s="188" t="s">
        <v>2</v>
      </c>
      <c r="E109" s="188" t="s">
        <v>29</v>
      </c>
      <c r="F109" s="37" t="s">
        <v>14</v>
      </c>
      <c r="G109" s="188" t="s">
        <v>33</v>
      </c>
      <c r="H109" s="188">
        <v>1</v>
      </c>
      <c r="I109" s="188">
        <f>B109</f>
        <v>0.1</v>
      </c>
      <c r="J109" s="188" t="s">
        <v>31</v>
      </c>
      <c r="K109" s="188" t="s">
        <v>31</v>
      </c>
      <c r="L109" s="188" t="s">
        <v>31</v>
      </c>
      <c r="M109" s="188" t="s">
        <v>31</v>
      </c>
      <c r="N109" s="188"/>
      <c r="O109" s="409"/>
      <c r="P109" s="410"/>
      <c r="Q109" s="350" t="s">
        <v>1106</v>
      </c>
      <c r="R109" s="188"/>
      <c r="S109" s="188"/>
      <c r="T109" s="188"/>
      <c r="U109" s="188"/>
    </row>
    <row r="110" spans="1:21">
      <c r="A110" s="188" t="s">
        <v>1061</v>
      </c>
      <c r="B110" s="392">
        <f>S110</f>
        <v>7.5000000000000006E-3</v>
      </c>
      <c r="C110" s="381" t="s">
        <v>609</v>
      </c>
      <c r="D110" s="188" t="s">
        <v>2</v>
      </c>
      <c r="E110" s="188" t="s">
        <v>29</v>
      </c>
      <c r="F110" s="37" t="s">
        <v>14</v>
      </c>
      <c r="G110" s="188" t="s">
        <v>33</v>
      </c>
      <c r="H110" s="188">
        <v>1</v>
      </c>
      <c r="I110" s="188">
        <f>B110</f>
        <v>7.5000000000000006E-3</v>
      </c>
      <c r="J110" s="188" t="s">
        <v>31</v>
      </c>
      <c r="K110" s="188" t="s">
        <v>31</v>
      </c>
      <c r="L110" s="188" t="s">
        <v>31</v>
      </c>
      <c r="M110" s="188" t="s">
        <v>31</v>
      </c>
      <c r="N110" s="188"/>
      <c r="O110" s="442" t="s">
        <v>580</v>
      </c>
      <c r="P110" s="443">
        <v>42</v>
      </c>
      <c r="Q110" s="188">
        <f>0.05/0.28</f>
        <v>0.17857142857142858</v>
      </c>
      <c r="R110" s="188" t="s">
        <v>838</v>
      </c>
      <c r="S110" s="392">
        <f>P110*0.001*Q110</f>
        <v>7.5000000000000006E-3</v>
      </c>
      <c r="T110" s="188"/>
      <c r="U110" s="188"/>
    </row>
    <row r="111" spans="1:21">
      <c r="A111" s="188" t="s">
        <v>1107</v>
      </c>
      <c r="B111" s="188">
        <v>1</v>
      </c>
      <c r="C111" s="188" t="s">
        <v>18</v>
      </c>
      <c r="D111" s="188" t="s">
        <v>2</v>
      </c>
      <c r="E111" s="188" t="s">
        <v>29</v>
      </c>
      <c r="F111" s="37" t="s">
        <v>14</v>
      </c>
      <c r="G111" s="188" t="s">
        <v>33</v>
      </c>
      <c r="H111" s="188">
        <v>1</v>
      </c>
      <c r="I111" s="188">
        <f>B111</f>
        <v>1</v>
      </c>
      <c r="J111" s="188" t="s">
        <v>31</v>
      </c>
      <c r="K111" s="188" t="s">
        <v>31</v>
      </c>
      <c r="L111" s="188" t="s">
        <v>31</v>
      </c>
      <c r="M111" s="188" t="s">
        <v>31</v>
      </c>
      <c r="N111" s="188"/>
      <c r="O111" s="409"/>
      <c r="P111" s="410"/>
      <c r="Q111" s="188"/>
      <c r="R111" s="188"/>
      <c r="S111" s="188"/>
      <c r="T111" s="188"/>
      <c r="U111" s="188"/>
    </row>
    <row r="112" spans="1:21">
      <c r="A112" s="88" t="s">
        <v>179</v>
      </c>
      <c r="B112" s="392">
        <f>R112</f>
        <v>2.4000000000000001E-4</v>
      </c>
      <c r="C112" s="188" t="s">
        <v>37</v>
      </c>
      <c r="D112" s="188" t="s">
        <v>40</v>
      </c>
      <c r="E112" s="188" t="s">
        <v>29</v>
      </c>
      <c r="F112" s="37" t="s">
        <v>35</v>
      </c>
      <c r="G112" s="188" t="s">
        <v>33</v>
      </c>
      <c r="H112" s="188">
        <v>2</v>
      </c>
      <c r="I112" s="188">
        <f>LN(B112)</f>
        <v>-8.3348716346222833</v>
      </c>
      <c r="J112" s="188">
        <v>2.8722813232690055E-2</v>
      </c>
      <c r="K112" s="188" t="s">
        <v>31</v>
      </c>
      <c r="L112" s="188" t="s">
        <v>31</v>
      </c>
      <c r="M112" s="188" t="s">
        <v>31</v>
      </c>
      <c r="N112" s="188"/>
      <c r="O112" s="442" t="s">
        <v>580</v>
      </c>
      <c r="P112" s="151">
        <v>0.24</v>
      </c>
      <c r="Q112" s="188" t="s">
        <v>241</v>
      </c>
      <c r="R112" s="392">
        <f>P112*10^-3</f>
        <v>2.4000000000000001E-4</v>
      </c>
      <c r="S112" s="188"/>
      <c r="T112" s="188"/>
      <c r="U112" s="188"/>
    </row>
    <row r="113" spans="1:21" s="70" customFormat="1">
      <c r="A113" s="370" t="s">
        <v>5</v>
      </c>
      <c r="B113" s="371" t="s">
        <v>1107</v>
      </c>
      <c r="C113" s="372"/>
      <c r="D113" s="353"/>
      <c r="E113" s="353"/>
      <c r="F113" s="353"/>
      <c r="G113" s="353"/>
      <c r="H113" s="353"/>
      <c r="I113" s="353"/>
      <c r="J113" s="353"/>
      <c r="K113" s="353"/>
      <c r="L113" s="353"/>
      <c r="M113" s="353"/>
      <c r="N113" s="353"/>
      <c r="O113" s="353"/>
      <c r="P113" s="353"/>
      <c r="Q113" s="353"/>
      <c r="R113" s="353"/>
      <c r="S113" s="353"/>
      <c r="T113" s="353"/>
      <c r="U113" s="353"/>
    </row>
    <row r="114" spans="1:21">
      <c r="A114" s="346" t="s">
        <v>7</v>
      </c>
      <c r="B114" s="188" t="s">
        <v>786</v>
      </c>
      <c r="C114" s="345"/>
      <c r="D114" s="188"/>
      <c r="E114" s="188"/>
      <c r="F114" s="188"/>
      <c r="G114" s="188"/>
      <c r="H114" s="188"/>
      <c r="I114" s="188"/>
      <c r="J114" s="188"/>
      <c r="K114" s="188"/>
      <c r="L114" s="188"/>
      <c r="M114" s="188"/>
      <c r="N114" s="188"/>
      <c r="O114" s="188"/>
      <c r="P114" s="188"/>
      <c r="Q114" s="188"/>
      <c r="R114" s="188"/>
      <c r="S114" s="188"/>
      <c r="T114" s="188"/>
      <c r="U114" s="188"/>
    </row>
    <row r="115" spans="1:21">
      <c r="A115" s="424" t="s">
        <v>9</v>
      </c>
      <c r="B115" s="188" t="s">
        <v>1108</v>
      </c>
      <c r="C115" s="345"/>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46" t="s">
        <v>11</v>
      </c>
      <c r="B116" s="347" t="s">
        <v>796</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46"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46"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46"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46"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43"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43" t="s">
        <v>20</v>
      </c>
      <c r="B122" s="344" t="s">
        <v>21</v>
      </c>
      <c r="C122" s="344" t="s">
        <v>18</v>
      </c>
      <c r="D122" s="344" t="s">
        <v>22</v>
      </c>
      <c r="E122" s="344" t="s">
        <v>7</v>
      </c>
      <c r="F122" s="344" t="s">
        <v>13</v>
      </c>
      <c r="G122" s="344" t="s">
        <v>16</v>
      </c>
      <c r="H122" s="344" t="s">
        <v>23</v>
      </c>
      <c r="I122" s="344" t="s">
        <v>24</v>
      </c>
      <c r="J122" s="344" t="s">
        <v>25</v>
      </c>
      <c r="K122" s="344" t="s">
        <v>26</v>
      </c>
      <c r="L122" s="344" t="s">
        <v>27</v>
      </c>
      <c r="M122" s="344" t="s">
        <v>28</v>
      </c>
      <c r="N122" s="344" t="s">
        <v>11</v>
      </c>
      <c r="O122" s="188"/>
      <c r="P122" s="188"/>
      <c r="Q122" s="188"/>
      <c r="R122" s="188"/>
      <c r="S122" s="188"/>
      <c r="T122" s="188"/>
      <c r="U122" s="188"/>
    </row>
    <row r="123" spans="1:21">
      <c r="A123" s="188" t="s">
        <v>1107</v>
      </c>
      <c r="B123" s="188">
        <v>1</v>
      </c>
      <c r="C123" s="188" t="s">
        <v>18</v>
      </c>
      <c r="D123" s="408" t="s">
        <v>2</v>
      </c>
      <c r="E123" s="188" t="s">
        <v>29</v>
      </c>
      <c r="F123" s="37" t="s">
        <v>14</v>
      </c>
      <c r="G123" s="188" t="s">
        <v>30</v>
      </c>
      <c r="H123" s="188">
        <v>1</v>
      </c>
      <c r="I123" s="188">
        <f>B123</f>
        <v>1</v>
      </c>
      <c r="J123" s="188" t="s">
        <v>31</v>
      </c>
      <c r="K123" s="188" t="s">
        <v>31</v>
      </c>
      <c r="L123" s="188" t="s">
        <v>31</v>
      </c>
      <c r="M123" s="188" t="s">
        <v>31</v>
      </c>
      <c r="N123" s="188"/>
      <c r="O123" s="188"/>
      <c r="P123" s="188"/>
      <c r="Q123" s="188"/>
      <c r="R123" s="188"/>
      <c r="S123" s="188"/>
      <c r="T123" s="188"/>
      <c r="U123" s="188"/>
    </row>
    <row r="124" spans="1:21">
      <c r="A124" s="88" t="s">
        <v>614</v>
      </c>
      <c r="B124" s="188">
        <f>R124</f>
        <v>0.47</v>
      </c>
      <c r="C124" s="188" t="s">
        <v>37</v>
      </c>
      <c r="D124" s="188" t="s">
        <v>40</v>
      </c>
      <c r="E124" s="188" t="s">
        <v>29</v>
      </c>
      <c r="F124" s="188" t="s">
        <v>59</v>
      </c>
      <c r="G124" s="188" t="s">
        <v>33</v>
      </c>
      <c r="H124" s="188">
        <v>1</v>
      </c>
      <c r="I124" s="188">
        <f>B124</f>
        <v>0.47</v>
      </c>
      <c r="J124" s="188" t="s">
        <v>31</v>
      </c>
      <c r="K124" s="188" t="s">
        <v>31</v>
      </c>
      <c r="L124" s="188" t="s">
        <v>31</v>
      </c>
      <c r="M124" s="188" t="s">
        <v>31</v>
      </c>
      <c r="N124" s="188"/>
      <c r="O124" s="188"/>
      <c r="P124" s="188">
        <v>0.47</v>
      </c>
      <c r="Q124" s="188" t="s">
        <v>241</v>
      </c>
      <c r="R124" s="188">
        <f>P124</f>
        <v>0.47</v>
      </c>
      <c r="S124" s="188"/>
      <c r="T124" s="188"/>
      <c r="U124" s="188"/>
    </row>
    <row r="125" spans="1:21">
      <c r="A125" s="88" t="s">
        <v>913</v>
      </c>
      <c r="B125" s="188">
        <f t="shared" ref="B125:B127" si="5">R125</f>
        <v>0.312</v>
      </c>
      <c r="C125" s="188" t="s">
        <v>37</v>
      </c>
      <c r="D125" s="188" t="s">
        <v>40</v>
      </c>
      <c r="E125" s="188" t="s">
        <v>29</v>
      </c>
      <c r="F125" s="188" t="s">
        <v>59</v>
      </c>
      <c r="G125" s="188" t="s">
        <v>33</v>
      </c>
      <c r="H125" s="188">
        <v>2</v>
      </c>
      <c r="I125" s="188">
        <f>LN(B125)</f>
        <v>-1.1647520911726548</v>
      </c>
      <c r="J125" s="188">
        <v>3.7749172176353707E-2</v>
      </c>
      <c r="K125" s="188" t="s">
        <v>31</v>
      </c>
      <c r="L125" s="188" t="s">
        <v>31</v>
      </c>
      <c r="M125" s="188" t="s">
        <v>31</v>
      </c>
      <c r="N125" s="188"/>
      <c r="O125" s="401" t="s">
        <v>580</v>
      </c>
      <c r="P125" s="138">
        <v>312</v>
      </c>
      <c r="Q125" s="188" t="s">
        <v>241</v>
      </c>
      <c r="R125" s="188">
        <f>P125*0.001</f>
        <v>0.312</v>
      </c>
      <c r="S125" s="188"/>
      <c r="T125" s="188"/>
      <c r="U125" s="188"/>
    </row>
    <row r="126" spans="1:21">
      <c r="A126" s="88" t="s">
        <v>914</v>
      </c>
      <c r="B126" s="188">
        <f t="shared" si="5"/>
        <v>1.8600000000000002E-2</v>
      </c>
      <c r="C126" s="188" t="s">
        <v>37</v>
      </c>
      <c r="D126" s="188" t="s">
        <v>40</v>
      </c>
      <c r="E126" s="188" t="s">
        <v>29</v>
      </c>
      <c r="F126" s="188" t="s">
        <v>59</v>
      </c>
      <c r="G126" s="188" t="s">
        <v>33</v>
      </c>
      <c r="H126" s="188">
        <v>2</v>
      </c>
      <c r="I126" s="188">
        <f>LN(B126)</f>
        <v>-3.9845936982629815</v>
      </c>
      <c r="J126" s="188">
        <v>3.7749172176353707E-2</v>
      </c>
      <c r="K126" s="188" t="s">
        <v>31</v>
      </c>
      <c r="L126" s="188" t="s">
        <v>31</v>
      </c>
      <c r="M126" s="188" t="s">
        <v>31</v>
      </c>
      <c r="N126" s="188"/>
      <c r="O126" s="401" t="s">
        <v>580</v>
      </c>
      <c r="P126" s="138">
        <v>18.600000000000001</v>
      </c>
      <c r="Q126" s="188" t="s">
        <v>241</v>
      </c>
      <c r="R126" s="188">
        <f t="shared" ref="R126:R127" si="6">P126*0.001</f>
        <v>1.8600000000000002E-2</v>
      </c>
      <c r="S126" s="188"/>
      <c r="T126" s="188"/>
      <c r="U126" s="188"/>
    </row>
    <row r="127" spans="1:21">
      <c r="A127" s="88" t="s">
        <v>915</v>
      </c>
      <c r="B127" s="188">
        <f t="shared" si="5"/>
        <v>0.14100000000000001</v>
      </c>
      <c r="C127" s="188" t="s">
        <v>37</v>
      </c>
      <c r="D127" s="188" t="s">
        <v>40</v>
      </c>
      <c r="E127" s="188" t="s">
        <v>29</v>
      </c>
      <c r="F127" s="188" t="s">
        <v>59</v>
      </c>
      <c r="G127" s="188" t="s">
        <v>33</v>
      </c>
      <c r="H127" s="188">
        <v>2</v>
      </c>
      <c r="I127" s="188">
        <f>LN(B127)</f>
        <v>-1.9589953886039686</v>
      </c>
      <c r="J127" s="188">
        <v>3.7749172176353707E-2</v>
      </c>
      <c r="K127" s="188" t="s">
        <v>31</v>
      </c>
      <c r="L127" s="188" t="s">
        <v>31</v>
      </c>
      <c r="M127" s="188" t="s">
        <v>31</v>
      </c>
      <c r="N127" s="188"/>
      <c r="O127" s="401" t="s">
        <v>580</v>
      </c>
      <c r="P127" s="138">
        <v>141</v>
      </c>
      <c r="Q127" s="188" t="s">
        <v>241</v>
      </c>
      <c r="R127" s="188">
        <f t="shared" si="6"/>
        <v>0.14100000000000001</v>
      </c>
      <c r="S127" s="188"/>
      <c r="T127" s="188"/>
      <c r="U127" s="188"/>
    </row>
    <row r="128" spans="1:21" s="70" customFormat="1">
      <c r="A128" s="370" t="s">
        <v>5</v>
      </c>
      <c r="B128" s="106" t="s">
        <v>1105</v>
      </c>
      <c r="C128" s="372"/>
      <c r="D128" s="353"/>
      <c r="E128" s="353"/>
      <c r="F128" s="353"/>
      <c r="G128" s="353"/>
      <c r="H128" s="353"/>
      <c r="I128" s="353"/>
      <c r="J128" s="353"/>
      <c r="K128" s="353"/>
      <c r="L128" s="353"/>
      <c r="M128" s="353"/>
      <c r="N128" s="353"/>
      <c r="O128" s="353"/>
      <c r="P128" s="353"/>
      <c r="Q128" s="353"/>
      <c r="R128" s="353"/>
      <c r="S128" s="353"/>
      <c r="T128" s="353"/>
      <c r="U128" s="353"/>
    </row>
    <row r="129" spans="1:21">
      <c r="A129" s="346" t="s">
        <v>7</v>
      </c>
      <c r="B129" s="188" t="s">
        <v>786</v>
      </c>
      <c r="C129" s="345"/>
      <c r="D129" s="188"/>
      <c r="E129" s="188"/>
      <c r="F129" s="188"/>
      <c r="G129" s="188"/>
      <c r="H129" s="188"/>
      <c r="I129" s="188"/>
      <c r="J129" s="188"/>
      <c r="K129" s="188"/>
      <c r="L129" s="188"/>
      <c r="M129" s="188"/>
      <c r="N129" s="188"/>
      <c r="O129" s="188"/>
      <c r="P129" s="188"/>
      <c r="Q129" s="188"/>
      <c r="R129" s="188"/>
      <c r="S129" s="188"/>
      <c r="T129" s="188"/>
      <c r="U129" s="188"/>
    </row>
    <row r="130" spans="1:21">
      <c r="A130" s="424" t="s">
        <v>9</v>
      </c>
      <c r="B130" s="188" t="s">
        <v>1109</v>
      </c>
      <c r="C130" s="345"/>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46" t="s">
        <v>11</v>
      </c>
      <c r="B131" s="347" t="s">
        <v>796</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46"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46" t="s">
        <v>15</v>
      </c>
      <c r="B133" s="425">
        <f>B138</f>
        <v>0.1</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46"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46" t="s">
        <v>18</v>
      </c>
      <c r="B135" s="188" t="s">
        <v>609</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43"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44" t="s">
        <v>20</v>
      </c>
      <c r="B137" s="344" t="s">
        <v>21</v>
      </c>
      <c r="C137" s="344" t="s">
        <v>18</v>
      </c>
      <c r="D137" s="344" t="s">
        <v>22</v>
      </c>
      <c r="E137" s="344" t="s">
        <v>7</v>
      </c>
      <c r="F137" s="344" t="s">
        <v>13</v>
      </c>
      <c r="G137" s="344" t="s">
        <v>16</v>
      </c>
      <c r="H137" s="344" t="s">
        <v>23</v>
      </c>
      <c r="I137" s="344" t="s">
        <v>24</v>
      </c>
      <c r="J137" s="344" t="s">
        <v>25</v>
      </c>
      <c r="K137" s="344" t="s">
        <v>26</v>
      </c>
      <c r="L137" s="344" t="s">
        <v>27</v>
      </c>
      <c r="M137" s="344" t="s">
        <v>28</v>
      </c>
      <c r="N137" s="344" t="s">
        <v>11</v>
      </c>
      <c r="O137" s="188"/>
      <c r="P137" s="188"/>
      <c r="Q137" s="188"/>
      <c r="R137" s="188"/>
      <c r="S137" s="188"/>
      <c r="T137" s="188"/>
      <c r="U137" s="188"/>
    </row>
    <row r="138" spans="1:21">
      <c r="A138" s="188" t="s">
        <v>1105</v>
      </c>
      <c r="B138" s="425">
        <f>P138</f>
        <v>0.1</v>
      </c>
      <c r="C138" s="188" t="s">
        <v>609</v>
      </c>
      <c r="D138" s="408" t="s">
        <v>2</v>
      </c>
      <c r="E138" s="188" t="s">
        <v>29</v>
      </c>
      <c r="F138" s="37" t="s">
        <v>14</v>
      </c>
      <c r="G138" s="188" t="s">
        <v>30</v>
      </c>
      <c r="H138" s="188">
        <v>1</v>
      </c>
      <c r="I138" s="188">
        <f>B138</f>
        <v>0.1</v>
      </c>
      <c r="J138" s="188" t="s">
        <v>31</v>
      </c>
      <c r="K138" s="188" t="s">
        <v>31</v>
      </c>
      <c r="L138" s="188" t="s">
        <v>31</v>
      </c>
      <c r="M138" s="188" t="s">
        <v>31</v>
      </c>
      <c r="N138" s="188"/>
      <c r="O138" s="409"/>
      <c r="P138" s="470">
        <v>0.1</v>
      </c>
      <c r="Q138" s="350"/>
      <c r="R138" s="188"/>
      <c r="S138" s="188"/>
      <c r="T138" s="188"/>
      <c r="U138" s="188"/>
    </row>
    <row r="139" spans="1:21">
      <c r="A139" s="192" t="s">
        <v>1110</v>
      </c>
      <c r="B139" s="425">
        <f>P139</f>
        <v>0.1</v>
      </c>
      <c r="C139" s="188" t="s">
        <v>609</v>
      </c>
      <c r="D139" s="408" t="s">
        <v>2</v>
      </c>
      <c r="E139" s="188" t="s">
        <v>29</v>
      </c>
      <c r="F139" s="37" t="s">
        <v>14</v>
      </c>
      <c r="G139" s="188" t="s">
        <v>33</v>
      </c>
      <c r="H139" s="188">
        <v>1</v>
      </c>
      <c r="I139" s="188">
        <f>B139</f>
        <v>0.1</v>
      </c>
      <c r="J139" s="188" t="s">
        <v>31</v>
      </c>
      <c r="K139" s="188" t="s">
        <v>31</v>
      </c>
      <c r="L139" s="188" t="s">
        <v>31</v>
      </c>
      <c r="M139" s="188" t="s">
        <v>31</v>
      </c>
      <c r="N139" s="188"/>
      <c r="O139" s="188"/>
      <c r="P139" s="470">
        <v>0.1</v>
      </c>
      <c r="Q139" s="188"/>
      <c r="R139" s="188"/>
      <c r="S139" s="188"/>
      <c r="T139" s="188"/>
      <c r="U139" s="188"/>
    </row>
    <row r="140" spans="1:21">
      <c r="A140" s="88" t="s">
        <v>680</v>
      </c>
      <c r="B140" s="188">
        <f>R140</f>
        <v>4.9000000000000007E-3</v>
      </c>
      <c r="C140" s="188" t="s">
        <v>37</v>
      </c>
      <c r="D140" s="188" t="s">
        <v>40</v>
      </c>
      <c r="E140" s="188" t="s">
        <v>29</v>
      </c>
      <c r="F140" s="188" t="s">
        <v>35</v>
      </c>
      <c r="G140" s="188" t="s">
        <v>33</v>
      </c>
      <c r="H140" s="188">
        <v>2</v>
      </c>
      <c r="I140" s="188">
        <f>LN(B140)</f>
        <v>-5.3185200738655558</v>
      </c>
      <c r="J140" s="188">
        <v>0.20928449536456342</v>
      </c>
      <c r="K140" s="188" t="s">
        <v>31</v>
      </c>
      <c r="L140" s="188" t="s">
        <v>31</v>
      </c>
      <c r="M140" s="188" t="s">
        <v>31</v>
      </c>
      <c r="N140" s="188"/>
      <c r="O140" s="401" t="s">
        <v>580</v>
      </c>
      <c r="P140" s="414">
        <v>4.9000000000000004</v>
      </c>
      <c r="Q140" s="188" t="s">
        <v>241</v>
      </c>
      <c r="R140" s="188">
        <f>0.001*P140</f>
        <v>4.9000000000000007E-3</v>
      </c>
      <c r="S140" s="188"/>
      <c r="T140" s="188"/>
      <c r="U140" s="188"/>
    </row>
    <row r="141" spans="1:21">
      <c r="A141" s="88" t="s">
        <v>545</v>
      </c>
      <c r="B141" s="188">
        <f>R141</f>
        <v>4.9000000000000007E-3</v>
      </c>
      <c r="C141" s="188" t="s">
        <v>37</v>
      </c>
      <c r="D141" s="188" t="s">
        <v>40</v>
      </c>
      <c r="E141" s="188" t="s">
        <v>29</v>
      </c>
      <c r="F141" s="188" t="s">
        <v>35</v>
      </c>
      <c r="G141" s="188" t="s">
        <v>33</v>
      </c>
      <c r="H141" s="188">
        <v>2</v>
      </c>
      <c r="I141" s="188">
        <f>LN(B141)</f>
        <v>-5.3185200738655558</v>
      </c>
      <c r="J141" s="188">
        <v>0.20928449536456342</v>
      </c>
      <c r="K141" s="188" t="s">
        <v>31</v>
      </c>
      <c r="L141" s="188" t="s">
        <v>31</v>
      </c>
      <c r="M141" s="188" t="s">
        <v>31</v>
      </c>
      <c r="N141" s="188"/>
      <c r="O141" s="401" t="s">
        <v>580</v>
      </c>
      <c r="P141" s="414">
        <v>4.9000000000000004</v>
      </c>
      <c r="Q141" s="188" t="s">
        <v>241</v>
      </c>
      <c r="R141" s="188">
        <f>0.001*P141</f>
        <v>4.9000000000000007E-3</v>
      </c>
      <c r="S141" s="188"/>
      <c r="T141" s="188"/>
      <c r="U141" s="188"/>
    </row>
    <row r="142" spans="1:21" s="70" customFormat="1">
      <c r="A142" s="370" t="s">
        <v>5</v>
      </c>
      <c r="B142" s="446" t="s">
        <v>1110</v>
      </c>
      <c r="C142" s="372"/>
      <c r="D142" s="353"/>
      <c r="E142" s="353"/>
      <c r="F142" s="353"/>
      <c r="G142" s="353"/>
      <c r="H142" s="353"/>
      <c r="I142" s="353"/>
      <c r="J142" s="353"/>
      <c r="K142" s="353"/>
      <c r="L142" s="353"/>
      <c r="M142" s="353"/>
      <c r="N142" s="353"/>
      <c r="O142" s="353"/>
      <c r="P142" s="353"/>
      <c r="Q142" s="353"/>
      <c r="R142" s="353"/>
      <c r="S142" s="353"/>
      <c r="T142" s="353"/>
      <c r="U142" s="353"/>
    </row>
    <row r="143" spans="1:21">
      <c r="A143" s="346" t="s">
        <v>7</v>
      </c>
      <c r="B143" s="188" t="s">
        <v>786</v>
      </c>
      <c r="C143" s="345"/>
      <c r="D143" s="188"/>
      <c r="E143" s="188"/>
      <c r="F143" s="188"/>
      <c r="G143" s="188"/>
      <c r="H143" s="188"/>
      <c r="I143" s="188"/>
      <c r="J143" s="188"/>
      <c r="K143" s="188"/>
      <c r="L143" s="188"/>
      <c r="M143" s="188"/>
      <c r="N143" s="188"/>
      <c r="O143" s="188"/>
      <c r="P143" s="188"/>
      <c r="Q143" s="188"/>
      <c r="R143" s="188"/>
      <c r="S143" s="188"/>
      <c r="T143" s="188"/>
      <c r="U143" s="188"/>
    </row>
    <row r="144" spans="1:21">
      <c r="A144" s="424" t="s">
        <v>9</v>
      </c>
      <c r="B144" s="188" t="s">
        <v>1111</v>
      </c>
      <c r="C144" s="345"/>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46" t="s">
        <v>11</v>
      </c>
      <c r="B145" s="347" t="s">
        <v>796</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46"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46" t="s">
        <v>15</v>
      </c>
      <c r="B147" s="425">
        <f>B152</f>
        <v>5.3999999999999999E-2</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46"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46" t="s">
        <v>18</v>
      </c>
      <c r="B149" s="188" t="s">
        <v>609</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43"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44" t="s">
        <v>20</v>
      </c>
      <c r="B151" s="344" t="s">
        <v>21</v>
      </c>
      <c r="C151" s="344" t="s">
        <v>18</v>
      </c>
      <c r="D151" s="344" t="s">
        <v>22</v>
      </c>
      <c r="E151" s="344" t="s">
        <v>7</v>
      </c>
      <c r="F151" s="344" t="s">
        <v>13</v>
      </c>
      <c r="G151" s="344" t="s">
        <v>16</v>
      </c>
      <c r="H151" s="344" t="s">
        <v>23</v>
      </c>
      <c r="I151" s="344" t="s">
        <v>24</v>
      </c>
      <c r="J151" s="344" t="s">
        <v>25</v>
      </c>
      <c r="K151" s="344" t="s">
        <v>26</v>
      </c>
      <c r="L151" s="344" t="s">
        <v>27</v>
      </c>
      <c r="M151" s="344" t="s">
        <v>28</v>
      </c>
      <c r="N151" s="344" t="s">
        <v>11</v>
      </c>
      <c r="O151" s="188"/>
      <c r="P151" s="188"/>
      <c r="Q151" s="188"/>
      <c r="R151" s="188"/>
      <c r="S151" s="188"/>
      <c r="T151" s="188"/>
      <c r="U151" s="188"/>
    </row>
    <row r="152" spans="1:21">
      <c r="A152" s="192" t="s">
        <v>1110</v>
      </c>
      <c r="B152" s="445">
        <f>P152</f>
        <v>5.3999999999999999E-2</v>
      </c>
      <c r="C152" s="188" t="s">
        <v>609</v>
      </c>
      <c r="D152" s="408" t="s">
        <v>2</v>
      </c>
      <c r="E152" s="188" t="s">
        <v>29</v>
      </c>
      <c r="F152" s="37" t="s">
        <v>14</v>
      </c>
      <c r="G152" s="188" t="s">
        <v>30</v>
      </c>
      <c r="H152" s="188">
        <v>1</v>
      </c>
      <c r="I152" s="188">
        <f>B152</f>
        <v>5.3999999999999999E-2</v>
      </c>
      <c r="J152" s="188" t="s">
        <v>31</v>
      </c>
      <c r="K152" s="188" t="s">
        <v>31</v>
      </c>
      <c r="L152" s="188" t="s">
        <v>31</v>
      </c>
      <c r="M152" s="188" t="s">
        <v>31</v>
      </c>
      <c r="N152" s="188"/>
      <c r="O152" s="471" t="s">
        <v>610</v>
      </c>
      <c r="P152" s="469">
        <v>5.3999999999999999E-2</v>
      </c>
      <c r="Q152" s="188"/>
      <c r="R152" s="188"/>
      <c r="S152" s="188"/>
      <c r="T152" s="188"/>
      <c r="U152" s="188"/>
    </row>
    <row r="153" spans="1:21">
      <c r="A153" s="188" t="s">
        <v>1112</v>
      </c>
      <c r="B153" s="445">
        <f t="shared" ref="B153:B156" si="7">P153</f>
        <v>1.7000000000000001E-2</v>
      </c>
      <c r="C153" s="188" t="s">
        <v>609</v>
      </c>
      <c r="D153" s="408" t="s">
        <v>2</v>
      </c>
      <c r="E153" s="188" t="s">
        <v>29</v>
      </c>
      <c r="F153" s="37" t="s">
        <v>14</v>
      </c>
      <c r="G153" s="188" t="s">
        <v>33</v>
      </c>
      <c r="H153" s="188">
        <v>1</v>
      </c>
      <c r="I153" s="188">
        <f>B153</f>
        <v>1.7000000000000001E-2</v>
      </c>
      <c r="J153" s="188" t="s">
        <v>31</v>
      </c>
      <c r="K153" s="188" t="s">
        <v>31</v>
      </c>
      <c r="L153" s="188" t="s">
        <v>31</v>
      </c>
      <c r="M153" s="188" t="s">
        <v>31</v>
      </c>
      <c r="N153" s="188"/>
      <c r="O153" s="471" t="s">
        <v>823</v>
      </c>
      <c r="P153" s="472">
        <v>1.7000000000000001E-2</v>
      </c>
      <c r="Q153" s="188"/>
      <c r="R153" s="188"/>
      <c r="S153" s="188"/>
      <c r="T153" s="188"/>
      <c r="U153" s="188"/>
    </row>
    <row r="154" spans="1:21">
      <c r="A154" s="188" t="s">
        <v>1113</v>
      </c>
      <c r="B154" s="445">
        <f t="shared" si="7"/>
        <v>5.3999999999999999E-2</v>
      </c>
      <c r="C154" s="188" t="s">
        <v>609</v>
      </c>
      <c r="D154" s="408" t="s">
        <v>2</v>
      </c>
      <c r="E154" s="188" t="s">
        <v>29</v>
      </c>
      <c r="F154" s="37" t="s">
        <v>14</v>
      </c>
      <c r="G154" s="188" t="s">
        <v>33</v>
      </c>
      <c r="H154" s="188">
        <v>1</v>
      </c>
      <c r="I154" s="188">
        <f>B154</f>
        <v>5.3999999999999999E-2</v>
      </c>
      <c r="J154" s="188" t="s">
        <v>31</v>
      </c>
      <c r="K154" s="188" t="s">
        <v>31</v>
      </c>
      <c r="L154" s="188" t="s">
        <v>31</v>
      </c>
      <c r="M154" s="188" t="s">
        <v>31</v>
      </c>
      <c r="N154" s="188"/>
      <c r="O154" s="400" t="s">
        <v>823</v>
      </c>
      <c r="P154" s="469">
        <v>5.3999999999999999E-2</v>
      </c>
      <c r="Q154" s="188"/>
      <c r="R154" s="188"/>
      <c r="S154" s="188"/>
      <c r="T154" s="188"/>
      <c r="U154" s="188"/>
    </row>
    <row r="155" spans="1:21">
      <c r="A155" s="346" t="s">
        <v>269</v>
      </c>
      <c r="B155" s="445">
        <f t="shared" si="7"/>
        <v>1.3</v>
      </c>
      <c r="C155" s="188" t="s">
        <v>39</v>
      </c>
      <c r="D155" s="188" t="s">
        <v>40</v>
      </c>
      <c r="E155" s="188" t="s">
        <v>29</v>
      </c>
      <c r="F155" s="37" t="s">
        <v>35</v>
      </c>
      <c r="G155" s="188" t="s">
        <v>33</v>
      </c>
      <c r="H155" s="188">
        <v>2</v>
      </c>
      <c r="I155" s="188">
        <f t="shared" ref="I155:I156" si="8">LN(B155)</f>
        <v>0.26236426446749106</v>
      </c>
      <c r="J155" s="188">
        <v>9.7082439194738052E-2</v>
      </c>
      <c r="K155" s="188" t="s">
        <v>31</v>
      </c>
      <c r="L155" s="188" t="s">
        <v>31</v>
      </c>
      <c r="M155" s="188" t="s">
        <v>31</v>
      </c>
      <c r="N155" s="188"/>
      <c r="O155" s="401" t="s">
        <v>248</v>
      </c>
      <c r="P155" s="414">
        <v>1.3</v>
      </c>
      <c r="Q155" s="188" t="s">
        <v>248</v>
      </c>
      <c r="R155" s="350">
        <f>P155</f>
        <v>1.3</v>
      </c>
      <c r="S155" s="188"/>
      <c r="T155" s="188"/>
      <c r="U155" s="188"/>
    </row>
    <row r="156" spans="1:21">
      <c r="A156" s="346" t="s">
        <v>202</v>
      </c>
      <c r="B156" s="445">
        <f t="shared" si="7"/>
        <v>3.5</v>
      </c>
      <c r="C156" s="188" t="s">
        <v>37</v>
      </c>
      <c r="D156" s="188" t="s">
        <v>40</v>
      </c>
      <c r="E156" s="188" t="s">
        <v>29</v>
      </c>
      <c r="F156" s="37" t="s">
        <v>35</v>
      </c>
      <c r="G156" s="188" t="s">
        <v>33</v>
      </c>
      <c r="H156" s="188">
        <v>2</v>
      </c>
      <c r="I156" s="188">
        <f t="shared" si="8"/>
        <v>1.2527629684953681</v>
      </c>
      <c r="J156" s="188">
        <v>9.7082439194738052E-2</v>
      </c>
      <c r="K156" s="188" t="s">
        <v>31</v>
      </c>
      <c r="L156" s="188" t="s">
        <v>31</v>
      </c>
      <c r="M156" s="188" t="s">
        <v>31</v>
      </c>
      <c r="N156" s="188"/>
      <c r="O156" s="401" t="s">
        <v>241</v>
      </c>
      <c r="P156" s="414">
        <v>3.5</v>
      </c>
      <c r="Q156" s="188"/>
      <c r="R156" s="188"/>
      <c r="S156" s="188"/>
      <c r="T156" s="188"/>
      <c r="U156" s="188"/>
    </row>
    <row r="157" spans="1:21" s="70" customFormat="1">
      <c r="A157" s="370" t="s">
        <v>5</v>
      </c>
      <c r="B157" s="371" t="s">
        <v>1113</v>
      </c>
      <c r="C157" s="372"/>
      <c r="D157" s="353"/>
      <c r="E157" s="353"/>
      <c r="F157" s="353"/>
      <c r="G157" s="353"/>
      <c r="H157" s="353"/>
      <c r="I157" s="353"/>
      <c r="J157" s="353"/>
      <c r="K157" s="353"/>
      <c r="L157" s="353"/>
      <c r="M157" s="353"/>
      <c r="N157" s="353"/>
      <c r="O157" s="353"/>
      <c r="P157" s="353"/>
      <c r="Q157" s="353"/>
      <c r="R157" s="353"/>
      <c r="S157" s="353"/>
      <c r="T157" s="353"/>
      <c r="U157" s="353"/>
    </row>
    <row r="158" spans="1:21">
      <c r="A158" s="346" t="s">
        <v>7</v>
      </c>
      <c r="B158" s="188" t="s">
        <v>786</v>
      </c>
      <c r="C158" s="345"/>
      <c r="D158" s="188"/>
      <c r="E158" s="188"/>
      <c r="F158" s="188"/>
      <c r="G158" s="188"/>
      <c r="H158" s="188"/>
      <c r="I158" s="188"/>
      <c r="J158" s="188"/>
      <c r="K158" s="188"/>
      <c r="L158" s="188"/>
      <c r="M158" s="188"/>
      <c r="N158" s="188"/>
      <c r="O158" s="188"/>
      <c r="P158" s="188"/>
      <c r="Q158" s="188"/>
      <c r="R158" s="188"/>
      <c r="S158" s="188"/>
      <c r="T158" s="188"/>
      <c r="U158" s="188"/>
    </row>
    <row r="159" spans="1:21">
      <c r="A159" s="424" t="s">
        <v>9</v>
      </c>
      <c r="B159" s="188" t="s">
        <v>1114</v>
      </c>
      <c r="C159" s="345"/>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46" t="s">
        <v>11</v>
      </c>
      <c r="B160" s="347" t="s">
        <v>796</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46"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46" t="s">
        <v>15</v>
      </c>
      <c r="B162" s="445">
        <f>B167</f>
        <v>5.3999999999999999E-2</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46"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46" t="s">
        <v>18</v>
      </c>
      <c r="B164" s="188" t="s">
        <v>609</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43"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44" t="s">
        <v>20</v>
      </c>
      <c r="B166" s="344" t="s">
        <v>21</v>
      </c>
      <c r="C166" s="344" t="s">
        <v>18</v>
      </c>
      <c r="D166" s="344" t="s">
        <v>22</v>
      </c>
      <c r="E166" s="344" t="s">
        <v>7</v>
      </c>
      <c r="F166" s="344" t="s">
        <v>13</v>
      </c>
      <c r="G166" s="344" t="s">
        <v>16</v>
      </c>
      <c r="H166" s="344" t="s">
        <v>23</v>
      </c>
      <c r="I166" s="344" t="s">
        <v>24</v>
      </c>
      <c r="J166" s="344" t="s">
        <v>25</v>
      </c>
      <c r="K166" s="344" t="s">
        <v>26</v>
      </c>
      <c r="L166" s="344" t="s">
        <v>27</v>
      </c>
      <c r="M166" s="344" t="s">
        <v>28</v>
      </c>
      <c r="N166" s="344" t="s">
        <v>11</v>
      </c>
      <c r="O166" s="188"/>
      <c r="P166" s="188"/>
      <c r="Q166" s="188"/>
      <c r="R166" s="188"/>
      <c r="S166" s="188"/>
      <c r="T166" s="188"/>
      <c r="U166" s="188"/>
    </row>
    <row r="167" spans="1:21">
      <c r="A167" s="188" t="s">
        <v>1113</v>
      </c>
      <c r="B167" s="415">
        <f>P167</f>
        <v>5.3999999999999999E-2</v>
      </c>
      <c r="C167" s="188" t="s">
        <v>609</v>
      </c>
      <c r="D167" s="408" t="s">
        <v>2</v>
      </c>
      <c r="E167" s="188" t="s">
        <v>29</v>
      </c>
      <c r="F167" s="37" t="s">
        <v>14</v>
      </c>
      <c r="G167" s="188" t="s">
        <v>30</v>
      </c>
      <c r="H167" s="188">
        <v>1</v>
      </c>
      <c r="I167" s="188">
        <f>B167</f>
        <v>5.3999999999999999E-2</v>
      </c>
      <c r="J167" s="188" t="s">
        <v>31</v>
      </c>
      <c r="K167" s="188" t="s">
        <v>31</v>
      </c>
      <c r="L167" s="188" t="s">
        <v>31</v>
      </c>
      <c r="M167" s="188" t="s">
        <v>31</v>
      </c>
      <c r="N167" s="188"/>
      <c r="O167" s="188"/>
      <c r="P167" s="469">
        <v>5.3999999999999999E-2</v>
      </c>
      <c r="Q167" s="188"/>
      <c r="R167" s="188"/>
      <c r="S167" s="188"/>
      <c r="T167" s="188"/>
      <c r="U167" s="188"/>
    </row>
    <row r="168" spans="1:21">
      <c r="A168" s="192" t="s">
        <v>1115</v>
      </c>
      <c r="B168" s="415">
        <f>P168</f>
        <v>5.3999999999999999E-2</v>
      </c>
      <c r="C168" s="188" t="s">
        <v>609</v>
      </c>
      <c r="D168" s="408" t="s">
        <v>2</v>
      </c>
      <c r="E168" s="188" t="s">
        <v>29</v>
      </c>
      <c r="F168" s="37" t="s">
        <v>14</v>
      </c>
      <c r="G168" s="188" t="s">
        <v>33</v>
      </c>
      <c r="H168" s="188">
        <v>1</v>
      </c>
      <c r="I168" s="188">
        <f>B168</f>
        <v>5.3999999999999999E-2</v>
      </c>
      <c r="J168" s="188" t="s">
        <v>31</v>
      </c>
      <c r="K168" s="188" t="s">
        <v>31</v>
      </c>
      <c r="L168" s="188" t="s">
        <v>31</v>
      </c>
      <c r="M168" s="188" t="s">
        <v>31</v>
      </c>
      <c r="N168" s="188"/>
      <c r="O168" s="188"/>
      <c r="P168" s="469">
        <v>5.3999999999999999E-2</v>
      </c>
      <c r="Q168" s="188"/>
      <c r="R168" s="188"/>
      <c r="S168" s="188"/>
      <c r="T168" s="188"/>
      <c r="U168" s="188"/>
    </row>
    <row r="169" spans="1:21">
      <c r="A169" s="346" t="s">
        <v>269</v>
      </c>
      <c r="B169" s="350">
        <f>R169</f>
        <v>0.15</v>
      </c>
      <c r="C169" s="188" t="s">
        <v>39</v>
      </c>
      <c r="D169" s="188" t="s">
        <v>40</v>
      </c>
      <c r="E169" s="188" t="s">
        <v>29</v>
      </c>
      <c r="F169" s="37" t="s">
        <v>35</v>
      </c>
      <c r="G169" s="188" t="s">
        <v>33</v>
      </c>
      <c r="H169" s="188">
        <v>2</v>
      </c>
      <c r="I169" s="188">
        <f t="shared" ref="I169:I173" si="9">LN(B169)</f>
        <v>-1.8971199848858813</v>
      </c>
      <c r="J169" s="188">
        <v>0.20928449536456342</v>
      </c>
      <c r="K169" s="188" t="s">
        <v>31</v>
      </c>
      <c r="L169" s="188" t="s">
        <v>31</v>
      </c>
      <c r="M169" s="188" t="s">
        <v>31</v>
      </c>
      <c r="N169" s="188"/>
      <c r="O169" s="383" t="s">
        <v>248</v>
      </c>
      <c r="P169" s="414">
        <v>0.15</v>
      </c>
      <c r="Q169" s="188" t="s">
        <v>248</v>
      </c>
      <c r="R169" s="350">
        <f>P169</f>
        <v>0.15</v>
      </c>
      <c r="S169" s="188"/>
      <c r="T169" s="188"/>
      <c r="U169" s="188"/>
    </row>
    <row r="170" spans="1:21">
      <c r="A170" s="88" t="s">
        <v>798</v>
      </c>
      <c r="B170" s="188">
        <f>R170</f>
        <v>4.5999999999999999E-3</v>
      </c>
      <c r="C170" s="188" t="s">
        <v>37</v>
      </c>
      <c r="D170" s="188" t="s">
        <v>40</v>
      </c>
      <c r="E170" s="188" t="s">
        <v>29</v>
      </c>
      <c r="F170" s="37" t="s">
        <v>35</v>
      </c>
      <c r="G170" s="188" t="s">
        <v>33</v>
      </c>
      <c r="H170" s="188">
        <v>2</v>
      </c>
      <c r="I170" s="188">
        <f t="shared" si="9"/>
        <v>-5.3816989754870876</v>
      </c>
      <c r="J170" s="188">
        <v>0.20928449536456342</v>
      </c>
      <c r="K170" s="188" t="s">
        <v>31</v>
      </c>
      <c r="L170" s="188" t="s">
        <v>31</v>
      </c>
      <c r="M170" s="188" t="s">
        <v>31</v>
      </c>
      <c r="N170" s="188"/>
      <c r="O170" s="401" t="s">
        <v>580</v>
      </c>
      <c r="P170" s="414">
        <v>4.5999999999999996</v>
      </c>
      <c r="Q170" s="188" t="s">
        <v>241</v>
      </c>
      <c r="R170" s="188">
        <f>0.001*P170</f>
        <v>4.5999999999999999E-3</v>
      </c>
      <c r="S170" s="188"/>
      <c r="T170" s="188"/>
      <c r="U170" s="188"/>
    </row>
    <row r="171" spans="1:21">
      <c r="A171" s="88" t="s">
        <v>308</v>
      </c>
      <c r="B171" s="188">
        <f>R171</f>
        <v>6.9999999999999999E-4</v>
      </c>
      <c r="C171" s="188" t="s">
        <v>37</v>
      </c>
      <c r="D171" s="188" t="s">
        <v>40</v>
      </c>
      <c r="E171" s="188" t="s">
        <v>29</v>
      </c>
      <c r="F171" s="37" t="s">
        <v>59</v>
      </c>
      <c r="G171" s="188" t="s">
        <v>33</v>
      </c>
      <c r="H171" s="188">
        <v>2</v>
      </c>
      <c r="I171" s="188">
        <f t="shared" si="9"/>
        <v>-7.2644302229208693</v>
      </c>
      <c r="J171" s="188">
        <v>0.20928449536456342</v>
      </c>
      <c r="K171" s="188" t="s">
        <v>31</v>
      </c>
      <c r="L171" s="188" t="s">
        <v>31</v>
      </c>
      <c r="M171" s="188" t="s">
        <v>31</v>
      </c>
      <c r="N171" s="188"/>
      <c r="O171" s="401" t="s">
        <v>580</v>
      </c>
      <c r="P171" s="414">
        <v>0.7</v>
      </c>
      <c r="Q171" s="188" t="s">
        <v>241</v>
      </c>
      <c r="R171" s="188">
        <f t="shared" ref="R171:R173" si="10">0.001*P171</f>
        <v>6.9999999999999999E-4</v>
      </c>
      <c r="S171" s="188"/>
      <c r="T171" s="188"/>
      <c r="U171" s="188"/>
    </row>
    <row r="172" spans="1:21">
      <c r="A172" s="346" t="s">
        <v>799</v>
      </c>
      <c r="B172" s="188">
        <f>R172</f>
        <v>2.2600000000000002E-2</v>
      </c>
      <c r="C172" s="188" t="s">
        <v>37</v>
      </c>
      <c r="D172" s="188" t="s">
        <v>40</v>
      </c>
      <c r="E172" s="188" t="s">
        <v>29</v>
      </c>
      <c r="F172" s="37" t="s">
        <v>74</v>
      </c>
      <c r="G172" s="188" t="s">
        <v>33</v>
      </c>
      <c r="H172" s="188">
        <v>2</v>
      </c>
      <c r="I172" s="188">
        <f t="shared" si="9"/>
        <v>-3.7898053727038969</v>
      </c>
      <c r="J172" s="188">
        <v>0.20928449536456342</v>
      </c>
      <c r="K172" s="188" t="s">
        <v>31</v>
      </c>
      <c r="L172" s="188" t="s">
        <v>31</v>
      </c>
      <c r="M172" s="188" t="s">
        <v>31</v>
      </c>
      <c r="N172" s="188"/>
      <c r="O172" s="401" t="s">
        <v>580</v>
      </c>
      <c r="P172" s="414">
        <v>22.6</v>
      </c>
      <c r="Q172" s="188" t="s">
        <v>241</v>
      </c>
      <c r="R172" s="188">
        <f t="shared" si="10"/>
        <v>2.2600000000000002E-2</v>
      </c>
      <c r="S172" s="188"/>
      <c r="T172" s="188"/>
      <c r="U172" s="188"/>
    </row>
    <row r="173" spans="1:21">
      <c r="A173" s="188" t="s">
        <v>784</v>
      </c>
      <c r="B173" s="188">
        <f>R173</f>
        <v>5.3E-3</v>
      </c>
      <c r="C173" s="188" t="s">
        <v>37</v>
      </c>
      <c r="D173" s="408" t="s">
        <v>2</v>
      </c>
      <c r="E173" s="188" t="s">
        <v>29</v>
      </c>
      <c r="F173" s="37" t="s">
        <v>74</v>
      </c>
      <c r="G173" s="188" t="s">
        <v>33</v>
      </c>
      <c r="H173" s="188">
        <v>2</v>
      </c>
      <c r="I173" s="188">
        <f t="shared" si="9"/>
        <v>-5.2400484584240612</v>
      </c>
      <c r="J173" s="188">
        <v>0.20928449536456342</v>
      </c>
      <c r="K173" s="188" t="s">
        <v>31</v>
      </c>
      <c r="L173" s="188" t="s">
        <v>31</v>
      </c>
      <c r="M173" s="188" t="s">
        <v>31</v>
      </c>
      <c r="N173" s="188"/>
      <c r="O173" s="447" t="s">
        <v>580</v>
      </c>
      <c r="P173" s="419">
        <v>5.3</v>
      </c>
      <c r="Q173" s="188" t="s">
        <v>241</v>
      </c>
      <c r="R173" s="188">
        <f t="shared" si="10"/>
        <v>5.3E-3</v>
      </c>
      <c r="S173" s="188"/>
      <c r="T173" s="188"/>
      <c r="U173" s="188"/>
    </row>
    <row r="174" spans="1:21" s="70" customFormat="1">
      <c r="A174" s="370" t="s">
        <v>5</v>
      </c>
      <c r="B174" s="371" t="s">
        <v>1115</v>
      </c>
      <c r="C174" s="372"/>
      <c r="D174" s="353"/>
      <c r="E174" s="353"/>
      <c r="F174" s="353"/>
      <c r="G174" s="353"/>
      <c r="H174" s="353"/>
      <c r="I174" s="353"/>
      <c r="J174" s="353"/>
      <c r="K174" s="353"/>
      <c r="L174" s="353"/>
      <c r="M174" s="353"/>
      <c r="N174" s="353"/>
      <c r="O174" s="353"/>
      <c r="P174" s="353"/>
      <c r="Q174" s="353"/>
      <c r="R174" s="353"/>
      <c r="S174" s="353"/>
      <c r="T174" s="353"/>
      <c r="U174" s="353"/>
    </row>
    <row r="175" spans="1:21">
      <c r="A175" s="346" t="s">
        <v>7</v>
      </c>
      <c r="B175" s="188" t="s">
        <v>786</v>
      </c>
      <c r="C175" s="345"/>
      <c r="D175" s="188"/>
      <c r="E175" s="188"/>
      <c r="F175" s="188"/>
      <c r="G175" s="188"/>
      <c r="H175" s="188"/>
      <c r="I175" s="188"/>
      <c r="J175" s="188"/>
      <c r="K175" s="188"/>
      <c r="L175" s="188"/>
      <c r="M175" s="188"/>
      <c r="N175" s="188"/>
      <c r="O175" s="188"/>
      <c r="P175" s="188"/>
      <c r="Q175" s="188"/>
      <c r="R175" s="188"/>
      <c r="S175" s="188"/>
      <c r="T175" s="188"/>
      <c r="U175" s="188"/>
    </row>
    <row r="176" spans="1:21">
      <c r="A176" s="424" t="s">
        <v>9</v>
      </c>
      <c r="B176" s="188" t="s">
        <v>1116</v>
      </c>
      <c r="C176" s="345"/>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46" t="s">
        <v>11</v>
      </c>
      <c r="B177" s="347" t="s">
        <v>796</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46"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46" t="s">
        <v>15</v>
      </c>
      <c r="B179" s="425">
        <f>B184</f>
        <v>5.3999999999999999E-2</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46"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46" t="s">
        <v>18</v>
      </c>
      <c r="B181" s="188" t="s">
        <v>609</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43"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44" t="s">
        <v>20</v>
      </c>
      <c r="B183" s="344" t="s">
        <v>21</v>
      </c>
      <c r="C183" s="344" t="s">
        <v>18</v>
      </c>
      <c r="D183" s="344" t="s">
        <v>22</v>
      </c>
      <c r="E183" s="344" t="s">
        <v>7</v>
      </c>
      <c r="F183" s="344" t="s">
        <v>13</v>
      </c>
      <c r="G183" s="344" t="s">
        <v>16</v>
      </c>
      <c r="H183" s="344" t="s">
        <v>23</v>
      </c>
      <c r="I183" s="344" t="s">
        <v>24</v>
      </c>
      <c r="J183" s="344" t="s">
        <v>25</v>
      </c>
      <c r="K183" s="344" t="s">
        <v>26</v>
      </c>
      <c r="L183" s="344" t="s">
        <v>27</v>
      </c>
      <c r="M183" s="344" t="s">
        <v>28</v>
      </c>
      <c r="N183" s="344" t="s">
        <v>11</v>
      </c>
      <c r="O183" s="188"/>
      <c r="P183" s="188"/>
      <c r="Q183" s="188"/>
      <c r="R183" s="188"/>
      <c r="S183" s="188"/>
      <c r="T183" s="188"/>
      <c r="U183" s="188"/>
    </row>
    <row r="184" spans="1:21">
      <c r="A184" s="192" t="s">
        <v>1115</v>
      </c>
      <c r="B184" s="415">
        <v>5.3999999999999999E-2</v>
      </c>
      <c r="C184" s="188" t="s">
        <v>609</v>
      </c>
      <c r="D184" s="408" t="s">
        <v>2</v>
      </c>
      <c r="E184" s="188" t="s">
        <v>29</v>
      </c>
      <c r="F184" s="37" t="s">
        <v>14</v>
      </c>
      <c r="G184" s="188" t="s">
        <v>30</v>
      </c>
      <c r="H184" s="188">
        <v>1</v>
      </c>
      <c r="I184" s="188">
        <f>B184</f>
        <v>5.3999999999999999E-2</v>
      </c>
      <c r="J184" s="188" t="s">
        <v>31</v>
      </c>
      <c r="K184" s="188" t="s">
        <v>31</v>
      </c>
      <c r="L184" s="188" t="s">
        <v>31</v>
      </c>
      <c r="M184" s="188" t="s">
        <v>31</v>
      </c>
      <c r="N184" s="188"/>
      <c r="O184" s="188"/>
      <c r="P184" s="188"/>
      <c r="Q184" s="188"/>
      <c r="R184" s="188"/>
      <c r="S184" s="188"/>
      <c r="T184" s="188"/>
      <c r="U184" s="188"/>
    </row>
    <row r="185" spans="1:21">
      <c r="A185" s="188" t="s">
        <v>1117</v>
      </c>
      <c r="B185" s="415">
        <v>5.3999999999999999E-2</v>
      </c>
      <c r="C185" s="188" t="s">
        <v>609</v>
      </c>
      <c r="D185" s="408" t="s">
        <v>2</v>
      </c>
      <c r="E185" s="188" t="s">
        <v>29</v>
      </c>
      <c r="F185" s="37" t="s">
        <v>14</v>
      </c>
      <c r="G185" s="188" t="s">
        <v>33</v>
      </c>
      <c r="H185" s="188">
        <v>1</v>
      </c>
      <c r="I185" s="188">
        <f>B185</f>
        <v>5.3999999999999999E-2</v>
      </c>
      <c r="J185" s="188" t="s">
        <v>31</v>
      </c>
      <c r="K185" s="188" t="s">
        <v>31</v>
      </c>
      <c r="L185" s="188" t="s">
        <v>31</v>
      </c>
      <c r="M185" s="188" t="s">
        <v>31</v>
      </c>
      <c r="N185" s="188"/>
      <c r="O185" s="188"/>
      <c r="P185" s="188"/>
      <c r="Q185" s="188"/>
      <c r="R185" s="188"/>
      <c r="S185" s="188"/>
      <c r="T185" s="188"/>
      <c r="U185" s="188"/>
    </row>
    <row r="186" spans="1:21">
      <c r="A186" s="346" t="s">
        <v>269</v>
      </c>
      <c r="B186" s="350">
        <f>P186</f>
        <v>3.1799999999999997</v>
      </c>
      <c r="C186" s="188" t="s">
        <v>39</v>
      </c>
      <c r="D186" s="188" t="s">
        <v>40</v>
      </c>
      <c r="E186" s="188" t="s">
        <v>29</v>
      </c>
      <c r="F186" s="37" t="s">
        <v>35</v>
      </c>
      <c r="G186" s="188" t="s">
        <v>33</v>
      </c>
      <c r="H186" s="188">
        <v>2</v>
      </c>
      <c r="I186" s="188">
        <f t="shared" ref="I186:I187" si="11">LN(B186)</f>
        <v>1.1568811967920853</v>
      </c>
      <c r="J186" s="188">
        <v>0.20928449536456342</v>
      </c>
      <c r="K186" s="188" t="s">
        <v>31</v>
      </c>
      <c r="L186" s="188" t="s">
        <v>31</v>
      </c>
      <c r="M186" s="188" t="s">
        <v>31</v>
      </c>
      <c r="N186" s="188"/>
      <c r="O186" s="401" t="s">
        <v>248</v>
      </c>
      <c r="P186" s="138">
        <f>0.99+2.19</f>
        <v>3.1799999999999997</v>
      </c>
      <c r="Q186" s="188"/>
      <c r="R186" s="188"/>
      <c r="S186" s="188"/>
      <c r="T186" s="188"/>
      <c r="U186" s="188"/>
    </row>
    <row r="187" spans="1:21">
      <c r="A187" s="346" t="s">
        <v>799</v>
      </c>
      <c r="B187" s="188">
        <f>R187</f>
        <v>6.4000000000000003E-3</v>
      </c>
      <c r="C187" s="188" t="s">
        <v>37</v>
      </c>
      <c r="D187" s="188" t="s">
        <v>40</v>
      </c>
      <c r="E187" s="188" t="s">
        <v>29</v>
      </c>
      <c r="F187" s="37" t="s">
        <v>74</v>
      </c>
      <c r="G187" s="188" t="s">
        <v>33</v>
      </c>
      <c r="H187" s="188">
        <v>2</v>
      </c>
      <c r="I187" s="188">
        <f t="shared" si="11"/>
        <v>-5.0514572886165112</v>
      </c>
      <c r="J187" s="188">
        <v>0.20928449536456342</v>
      </c>
      <c r="K187" s="188" t="s">
        <v>31</v>
      </c>
      <c r="L187" s="188" t="s">
        <v>31</v>
      </c>
      <c r="M187" s="188" t="s">
        <v>31</v>
      </c>
      <c r="N187" s="188"/>
      <c r="O187" s="401" t="s">
        <v>580</v>
      </c>
      <c r="P187" s="138">
        <v>6.4</v>
      </c>
      <c r="Q187" s="188" t="s">
        <v>241</v>
      </c>
      <c r="R187" s="188">
        <f>P187*0.001</f>
        <v>6.4000000000000003E-3</v>
      </c>
      <c r="S187" s="188"/>
      <c r="T187" s="188"/>
      <c r="U187" s="188"/>
    </row>
    <row r="188" spans="1:21">
      <c r="A188" s="88" t="s">
        <v>545</v>
      </c>
      <c r="B188" s="188">
        <f>R188</f>
        <v>7.7999999999999996E-3</v>
      </c>
      <c r="C188" s="188" t="s">
        <v>37</v>
      </c>
      <c r="D188" s="188" t="s">
        <v>40</v>
      </c>
      <c r="E188" s="188" t="s">
        <v>29</v>
      </c>
      <c r="F188" s="188" t="s">
        <v>35</v>
      </c>
      <c r="G188" s="188" t="s">
        <v>33</v>
      </c>
      <c r="H188" s="188">
        <v>2</v>
      </c>
      <c r="I188" s="188">
        <f>LN(B188)</f>
        <v>-4.853631545286591</v>
      </c>
      <c r="J188" s="188">
        <v>0.20928449536456342</v>
      </c>
      <c r="K188" s="188" t="s">
        <v>31</v>
      </c>
      <c r="L188" s="188" t="s">
        <v>31</v>
      </c>
      <c r="M188" s="188" t="s">
        <v>31</v>
      </c>
      <c r="N188" s="188"/>
      <c r="O188" s="401" t="s">
        <v>580</v>
      </c>
      <c r="P188" s="138">
        <v>7.8</v>
      </c>
      <c r="Q188" s="188" t="s">
        <v>241</v>
      </c>
      <c r="R188" s="188">
        <f>P188*0.001</f>
        <v>7.7999999999999996E-3</v>
      </c>
      <c r="S188" s="188"/>
      <c r="T188" s="188"/>
      <c r="U188" s="188"/>
    </row>
    <row r="189" spans="1:21">
      <c r="A189" s="188" t="s">
        <v>784</v>
      </c>
      <c r="B189" s="188">
        <f>R189</f>
        <v>7.7999999999999996E-3</v>
      </c>
      <c r="C189" s="188" t="s">
        <v>37</v>
      </c>
      <c r="D189" s="408" t="s">
        <v>2</v>
      </c>
      <c r="E189" s="188" t="s">
        <v>29</v>
      </c>
      <c r="F189" s="37" t="s">
        <v>74</v>
      </c>
      <c r="G189" s="188" t="s">
        <v>33</v>
      </c>
      <c r="H189" s="188">
        <v>2</v>
      </c>
      <c r="I189" s="188">
        <f t="shared" ref="I189" si="12">LN(B189)</f>
        <v>-4.853631545286591</v>
      </c>
      <c r="J189" s="188">
        <v>0.20928449536456342</v>
      </c>
      <c r="K189" s="188" t="s">
        <v>31</v>
      </c>
      <c r="L189" s="188" t="s">
        <v>31</v>
      </c>
      <c r="M189" s="188" t="s">
        <v>31</v>
      </c>
      <c r="N189" s="188"/>
      <c r="O189" s="447" t="s">
        <v>580</v>
      </c>
      <c r="P189" s="142">
        <v>7.8</v>
      </c>
      <c r="Q189" s="188" t="s">
        <v>241</v>
      </c>
      <c r="R189" s="188">
        <f t="shared" ref="R189" si="13">0.001*P189</f>
        <v>7.7999999999999996E-3</v>
      </c>
      <c r="S189" s="188"/>
      <c r="T189" s="188"/>
      <c r="U189" s="188"/>
    </row>
    <row r="190" spans="1:21" s="70" customFormat="1">
      <c r="A190" s="370" t="s">
        <v>5</v>
      </c>
      <c r="B190" s="371" t="s">
        <v>1117</v>
      </c>
      <c r="C190" s="372"/>
      <c r="D190" s="353"/>
      <c r="E190" s="353"/>
      <c r="F190" s="353"/>
      <c r="G190" s="353"/>
      <c r="H190" s="353"/>
      <c r="I190" s="353"/>
      <c r="J190" s="353"/>
      <c r="K190" s="353"/>
      <c r="L190" s="353"/>
      <c r="M190" s="353"/>
      <c r="N190" s="353"/>
      <c r="O190" s="353"/>
      <c r="P190" s="353"/>
      <c r="Q190" s="353"/>
      <c r="R190" s="353"/>
      <c r="S190" s="353"/>
      <c r="T190" s="353"/>
      <c r="U190" s="353"/>
    </row>
    <row r="191" spans="1:21">
      <c r="A191" s="346" t="s">
        <v>7</v>
      </c>
      <c r="B191" s="188" t="s">
        <v>786</v>
      </c>
      <c r="C191" s="345"/>
      <c r="D191" s="188"/>
      <c r="E191" s="188"/>
      <c r="F191" s="188"/>
      <c r="G191" s="188"/>
      <c r="H191" s="188"/>
      <c r="I191" s="188"/>
      <c r="J191" s="188"/>
      <c r="K191" s="188"/>
      <c r="L191" s="188"/>
      <c r="M191" s="188"/>
      <c r="N191" s="188"/>
      <c r="O191" s="188"/>
      <c r="P191" s="188"/>
      <c r="Q191" s="188"/>
      <c r="R191" s="188"/>
      <c r="S191" s="188"/>
      <c r="T191" s="188"/>
      <c r="U191" s="188"/>
    </row>
    <row r="192" spans="1:21">
      <c r="A192" s="424" t="s">
        <v>9</v>
      </c>
      <c r="B192" s="188" t="s">
        <v>1118</v>
      </c>
      <c r="C192" s="345"/>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46" t="s">
        <v>11</v>
      </c>
      <c r="B193" s="347" t="s">
        <v>796</v>
      </c>
      <c r="C193" s="188"/>
      <c r="D193" s="188"/>
      <c r="E193" s="188"/>
      <c r="F193" s="188"/>
      <c r="G193" s="188"/>
      <c r="H193" s="188"/>
      <c r="I193" s="188"/>
      <c r="J193" s="188"/>
      <c r="K193" s="188"/>
      <c r="L193" s="188"/>
      <c r="M193" s="188"/>
      <c r="N193" s="188"/>
      <c r="O193" s="188"/>
      <c r="P193" s="188"/>
      <c r="Q193" s="188"/>
      <c r="R193" s="188"/>
      <c r="S193" s="188"/>
      <c r="T193" s="188"/>
      <c r="U193" s="188"/>
    </row>
    <row r="194" spans="1:21">
      <c r="A194" s="346" t="s">
        <v>13</v>
      </c>
      <c r="B194" s="188" t="s">
        <v>14</v>
      </c>
      <c r="C194" s="188"/>
      <c r="D194" s="188"/>
      <c r="E194" s="188"/>
      <c r="F194" s="188"/>
      <c r="G194" s="188"/>
      <c r="H194" s="188"/>
      <c r="I194" s="188"/>
      <c r="J194" s="188"/>
      <c r="K194" s="188"/>
      <c r="L194" s="188"/>
      <c r="M194" s="188"/>
      <c r="N194" s="188"/>
      <c r="O194" s="188"/>
      <c r="P194" s="188"/>
      <c r="Q194" s="188"/>
      <c r="R194" s="188"/>
      <c r="S194" s="188"/>
      <c r="T194" s="188"/>
      <c r="U194" s="188"/>
    </row>
    <row r="195" spans="1:21">
      <c r="A195" s="346" t="s">
        <v>15</v>
      </c>
      <c r="B195" s="425">
        <f>B200</f>
        <v>0.82</v>
      </c>
      <c r="C195" s="188"/>
      <c r="D195" s="188"/>
      <c r="E195" s="188"/>
      <c r="F195" s="188"/>
      <c r="G195" s="188"/>
      <c r="H195" s="188"/>
      <c r="I195" s="188"/>
      <c r="J195" s="188"/>
      <c r="K195" s="188"/>
      <c r="L195" s="188"/>
      <c r="M195" s="188"/>
      <c r="N195" s="188"/>
      <c r="O195" s="188"/>
      <c r="P195" s="188"/>
      <c r="Q195" s="188"/>
      <c r="R195" s="188"/>
      <c r="S195" s="188"/>
      <c r="T195" s="188"/>
      <c r="U195" s="188"/>
    </row>
    <row r="196" spans="1:21">
      <c r="A196" s="346" t="s">
        <v>16</v>
      </c>
      <c r="B196" s="188" t="s">
        <v>17</v>
      </c>
      <c r="C196" s="188"/>
      <c r="D196" s="188"/>
      <c r="E196" s="188"/>
      <c r="F196" s="188"/>
      <c r="G196" s="188"/>
      <c r="H196" s="188"/>
      <c r="I196" s="188"/>
      <c r="J196" s="188"/>
      <c r="K196" s="188"/>
      <c r="L196" s="188"/>
      <c r="M196" s="188"/>
      <c r="N196" s="188"/>
      <c r="O196" s="188"/>
      <c r="P196" s="188"/>
      <c r="Q196" s="188"/>
      <c r="R196" s="344" t="s">
        <v>885</v>
      </c>
      <c r="S196" s="188"/>
      <c r="T196" s="188"/>
      <c r="U196" s="188"/>
    </row>
    <row r="197" spans="1:21">
      <c r="A197" s="346" t="s">
        <v>18</v>
      </c>
      <c r="B197" s="188" t="s">
        <v>609</v>
      </c>
      <c r="C197" s="188"/>
      <c r="D197" s="188"/>
      <c r="E197" s="188"/>
      <c r="F197" s="188"/>
      <c r="G197" s="188"/>
      <c r="H197" s="188"/>
      <c r="I197" s="188"/>
      <c r="J197" s="188"/>
      <c r="K197" s="188"/>
      <c r="L197" s="188"/>
      <c r="M197" s="188"/>
      <c r="N197" s="188"/>
      <c r="O197" s="188"/>
      <c r="P197" s="188"/>
      <c r="Q197" s="188"/>
      <c r="R197" s="188" t="s">
        <v>886</v>
      </c>
      <c r="S197" s="188">
        <v>8900</v>
      </c>
      <c r="T197" s="188" t="s">
        <v>887</v>
      </c>
      <c r="U197" s="188"/>
    </row>
    <row r="198" spans="1:21">
      <c r="A198" s="343" t="s">
        <v>19</v>
      </c>
      <c r="B198" s="188"/>
      <c r="C198" s="188"/>
      <c r="D198" s="188"/>
      <c r="E198" s="188"/>
      <c r="F198" s="188"/>
      <c r="G198" s="188"/>
      <c r="H198" s="188"/>
      <c r="I198" s="188"/>
      <c r="J198" s="188"/>
      <c r="K198" s="188"/>
      <c r="L198" s="188"/>
      <c r="M198" s="188"/>
      <c r="N198" s="188"/>
      <c r="O198" s="188"/>
      <c r="P198" s="188"/>
      <c r="Q198" s="188"/>
      <c r="R198" s="188" t="s">
        <v>888</v>
      </c>
      <c r="S198" s="188">
        <f>5*10^-6</f>
        <v>4.9999999999999996E-6</v>
      </c>
      <c r="T198" s="188" t="s">
        <v>889</v>
      </c>
      <c r="U198" s="188"/>
    </row>
    <row r="199" spans="1:21">
      <c r="A199" s="344" t="s">
        <v>20</v>
      </c>
      <c r="B199" s="344" t="s">
        <v>21</v>
      </c>
      <c r="C199" s="344" t="s">
        <v>18</v>
      </c>
      <c r="D199" s="344" t="s">
        <v>22</v>
      </c>
      <c r="E199" s="344" t="s">
        <v>7</v>
      </c>
      <c r="F199" s="344" t="s">
        <v>13</v>
      </c>
      <c r="G199" s="344" t="s">
        <v>16</v>
      </c>
      <c r="H199" s="344" t="s">
        <v>23</v>
      </c>
      <c r="I199" s="344" t="s">
        <v>24</v>
      </c>
      <c r="J199" s="344" t="s">
        <v>25</v>
      </c>
      <c r="K199" s="344" t="s">
        <v>26</v>
      </c>
      <c r="L199" s="344" t="s">
        <v>27</v>
      </c>
      <c r="M199" s="344" t="s">
        <v>28</v>
      </c>
      <c r="N199" s="344" t="s">
        <v>11</v>
      </c>
      <c r="O199" s="188"/>
      <c r="P199" s="188"/>
      <c r="Q199" s="188"/>
      <c r="R199" s="427" t="s">
        <v>890</v>
      </c>
      <c r="S199" s="428">
        <v>0.86</v>
      </c>
      <c r="T199" s="429" t="s">
        <v>891</v>
      </c>
      <c r="U199" s="188"/>
    </row>
    <row r="200" spans="1:21">
      <c r="A200" s="188" t="s">
        <v>1117</v>
      </c>
      <c r="B200" s="473">
        <v>0.82</v>
      </c>
      <c r="C200" s="188" t="s">
        <v>609</v>
      </c>
      <c r="D200" s="408" t="s">
        <v>2</v>
      </c>
      <c r="E200" s="188" t="s">
        <v>29</v>
      </c>
      <c r="F200" s="188" t="s">
        <v>14</v>
      </c>
      <c r="G200" s="188" t="s">
        <v>30</v>
      </c>
      <c r="H200" s="188">
        <v>1</v>
      </c>
      <c r="I200" s="188">
        <f>B200</f>
        <v>0.82</v>
      </c>
      <c r="J200" s="188" t="s">
        <v>31</v>
      </c>
      <c r="K200" s="188" t="s">
        <v>31</v>
      </c>
      <c r="L200" s="188" t="s">
        <v>31</v>
      </c>
      <c r="M200" s="188" t="s">
        <v>31</v>
      </c>
      <c r="N200" s="188"/>
      <c r="O200" s="449" t="s">
        <v>892</v>
      </c>
      <c r="P200" s="450">
        <f>B200*100</f>
        <v>82</v>
      </c>
      <c r="Q200" s="188"/>
      <c r="R200" s="188"/>
      <c r="S200" s="188"/>
      <c r="T200" s="188"/>
      <c r="U200" s="188"/>
    </row>
    <row r="201" spans="1:21">
      <c r="A201" s="188" t="s">
        <v>1119</v>
      </c>
      <c r="B201" s="473">
        <v>0.82</v>
      </c>
      <c r="C201" s="188" t="s">
        <v>609</v>
      </c>
      <c r="D201" s="408" t="s">
        <v>2</v>
      </c>
      <c r="E201" s="188" t="s">
        <v>29</v>
      </c>
      <c r="F201" s="188" t="s">
        <v>14</v>
      </c>
      <c r="G201" s="188" t="s">
        <v>33</v>
      </c>
      <c r="H201" s="188">
        <v>1</v>
      </c>
      <c r="I201" s="188">
        <f>B201</f>
        <v>0.82</v>
      </c>
      <c r="J201" s="188">
        <v>7.2284161474004766E-2</v>
      </c>
      <c r="K201" s="188" t="s">
        <v>31</v>
      </c>
      <c r="L201" s="188" t="s">
        <v>31</v>
      </c>
      <c r="M201" s="188" t="s">
        <v>31</v>
      </c>
      <c r="N201" s="188"/>
      <c r="O201" s="401" t="s">
        <v>892</v>
      </c>
      <c r="P201" s="414">
        <f>B201*100</f>
        <v>82</v>
      </c>
      <c r="Q201" s="188"/>
      <c r="R201" s="188" t="s">
        <v>554</v>
      </c>
      <c r="S201" s="188"/>
      <c r="T201" s="188"/>
      <c r="U201" s="410"/>
    </row>
    <row r="202" spans="1:21">
      <c r="A202" s="192" t="s">
        <v>1074</v>
      </c>
      <c r="B202" s="420">
        <f>T202</f>
        <v>0.73099999999999998</v>
      </c>
      <c r="C202" s="188" t="s">
        <v>37</v>
      </c>
      <c r="D202" s="408" t="s">
        <v>2</v>
      </c>
      <c r="E202" s="188" t="s">
        <v>29</v>
      </c>
      <c r="F202" s="37" t="s">
        <v>14</v>
      </c>
      <c r="G202" s="188" t="s">
        <v>33</v>
      </c>
      <c r="H202" s="188">
        <v>1</v>
      </c>
      <c r="I202" s="188">
        <f>B202</f>
        <v>0.73099999999999998</v>
      </c>
      <c r="J202" s="188">
        <v>7.2284161474004766E-2</v>
      </c>
      <c r="K202" s="188" t="s">
        <v>31</v>
      </c>
      <c r="L202" s="188" t="s">
        <v>31</v>
      </c>
      <c r="M202" s="188" t="s">
        <v>31</v>
      </c>
      <c r="N202" s="188"/>
      <c r="O202" s="192"/>
      <c r="P202" s="421"/>
      <c r="Q202" s="188"/>
      <c r="R202" s="430">
        <v>0.85</v>
      </c>
      <c r="S202" s="431" t="s">
        <v>610</v>
      </c>
      <c r="T202" s="430">
        <f>R202*S199</f>
        <v>0.73099999999999998</v>
      </c>
      <c r="U202" s="431" t="s">
        <v>241</v>
      </c>
    </row>
    <row r="203" spans="1:21">
      <c r="A203" s="346" t="s">
        <v>799</v>
      </c>
      <c r="B203" s="188">
        <f>P203</f>
        <v>6.8</v>
      </c>
      <c r="C203" s="188" t="s">
        <v>37</v>
      </c>
      <c r="D203" s="188" t="s">
        <v>40</v>
      </c>
      <c r="E203" s="188" t="s">
        <v>29</v>
      </c>
      <c r="F203" s="37" t="s">
        <v>74</v>
      </c>
      <c r="G203" s="188" t="s">
        <v>33</v>
      </c>
      <c r="H203" s="188">
        <v>2</v>
      </c>
      <c r="I203" s="188">
        <f t="shared" ref="I203" si="14">LN(B203)</f>
        <v>1.9169226121820611</v>
      </c>
      <c r="J203" s="188">
        <v>7.2284161474004766E-2</v>
      </c>
      <c r="K203" s="188" t="s">
        <v>31</v>
      </c>
      <c r="L203" s="188" t="s">
        <v>31</v>
      </c>
      <c r="M203" s="188" t="s">
        <v>31</v>
      </c>
      <c r="N203" s="188"/>
      <c r="O203" s="401" t="s">
        <v>241</v>
      </c>
      <c r="P203" s="414">
        <v>6.8</v>
      </c>
      <c r="Q203" s="188"/>
      <c r="R203" s="188"/>
      <c r="S203" s="188"/>
      <c r="T203" s="188"/>
      <c r="U203" s="188"/>
    </row>
    <row r="204" spans="1:21">
      <c r="A204" s="88" t="s">
        <v>874</v>
      </c>
      <c r="B204" s="451">
        <f>R204</f>
        <v>2.9999999999999999E-7</v>
      </c>
      <c r="C204" s="188" t="s">
        <v>37</v>
      </c>
      <c r="D204" s="188" t="s">
        <v>40</v>
      </c>
      <c r="E204" s="188" t="s">
        <v>29</v>
      </c>
      <c r="F204" s="37" t="s">
        <v>59</v>
      </c>
      <c r="G204" s="188" t="s">
        <v>33</v>
      </c>
      <c r="H204" s="188">
        <v>2</v>
      </c>
      <c r="I204" s="188">
        <f>LN(B204)</f>
        <v>-15.01948336229021</v>
      </c>
      <c r="J204" s="188">
        <v>7.2284161474004766E-2</v>
      </c>
      <c r="K204" s="188" t="s">
        <v>31</v>
      </c>
      <c r="L204" s="188" t="s">
        <v>31</v>
      </c>
      <c r="M204" s="188" t="s">
        <v>31</v>
      </c>
      <c r="N204" s="188"/>
      <c r="O204" s="416" t="s">
        <v>538</v>
      </c>
      <c r="P204" s="439">
        <v>0.3</v>
      </c>
      <c r="Q204" s="188" t="s">
        <v>241</v>
      </c>
      <c r="R204" s="188">
        <f>0.000001*P204</f>
        <v>2.9999999999999999E-7</v>
      </c>
      <c r="S204" s="188"/>
      <c r="T204" s="188"/>
      <c r="U204" s="188"/>
    </row>
    <row r="205" spans="1:21">
      <c r="A205" s="88" t="s">
        <v>76</v>
      </c>
      <c r="B205" s="451">
        <f>R205</f>
        <v>6.7999999999999996E-3</v>
      </c>
      <c r="C205" s="188" t="s">
        <v>42</v>
      </c>
      <c r="D205" s="188" t="s">
        <v>40</v>
      </c>
      <c r="E205" s="188" t="s">
        <v>29</v>
      </c>
      <c r="F205" s="37" t="s">
        <v>74</v>
      </c>
      <c r="G205" s="188" t="s">
        <v>33</v>
      </c>
      <c r="H205" s="188">
        <v>2</v>
      </c>
      <c r="I205" s="188">
        <f t="shared" ref="I205" si="15">LN(B205)</f>
        <v>-4.9908326668000758</v>
      </c>
      <c r="J205" s="188">
        <v>7.2284161474004766E-2</v>
      </c>
      <c r="K205" s="188" t="s">
        <v>31</v>
      </c>
      <c r="L205" s="188" t="s">
        <v>31</v>
      </c>
      <c r="M205" s="188" t="s">
        <v>31</v>
      </c>
      <c r="N205" s="188"/>
      <c r="O205" s="418" t="s">
        <v>863</v>
      </c>
      <c r="P205" s="419">
        <v>6.8</v>
      </c>
      <c r="Q205" s="188" t="s">
        <v>251</v>
      </c>
      <c r="R205" s="188">
        <f>0.001*P205</f>
        <v>6.7999999999999996E-3</v>
      </c>
      <c r="S205" s="188"/>
      <c r="T205" s="188"/>
      <c r="U205" s="188"/>
    </row>
    <row r="206" spans="1:21" s="70" customFormat="1">
      <c r="A206" s="370" t="s">
        <v>5</v>
      </c>
      <c r="B206" s="371" t="s">
        <v>1119</v>
      </c>
      <c r="C206" s="372"/>
      <c r="D206" s="353"/>
      <c r="E206" s="353"/>
      <c r="F206" s="353"/>
      <c r="G206" s="353"/>
      <c r="H206" s="353"/>
      <c r="I206" s="353"/>
      <c r="J206" s="353"/>
      <c r="K206" s="353"/>
      <c r="L206" s="353"/>
      <c r="M206" s="353"/>
      <c r="N206" s="353"/>
      <c r="O206" s="353"/>
      <c r="P206" s="353"/>
      <c r="Q206" s="353"/>
      <c r="R206" s="353"/>
      <c r="S206" s="353"/>
      <c r="T206" s="353"/>
      <c r="U206" s="353"/>
    </row>
    <row r="207" spans="1:21">
      <c r="A207" s="346" t="s">
        <v>7</v>
      </c>
      <c r="B207" s="188" t="s">
        <v>786</v>
      </c>
      <c r="C207" s="345"/>
      <c r="D207" s="188"/>
      <c r="E207" s="188"/>
      <c r="F207" s="188"/>
      <c r="G207" s="188"/>
      <c r="H207" s="188"/>
      <c r="I207" s="188"/>
      <c r="J207" s="188"/>
      <c r="K207" s="188"/>
      <c r="L207" s="188"/>
      <c r="M207" s="188"/>
      <c r="N207" s="188"/>
      <c r="O207" s="188"/>
      <c r="P207" s="188"/>
      <c r="Q207" s="188"/>
      <c r="R207" s="188"/>
      <c r="S207" s="188"/>
      <c r="T207" s="188"/>
      <c r="U207" s="188"/>
    </row>
    <row r="208" spans="1:21">
      <c r="A208" s="424" t="s">
        <v>9</v>
      </c>
      <c r="B208" s="188" t="s">
        <v>1120</v>
      </c>
      <c r="C208" s="345"/>
      <c r="D208" s="188"/>
      <c r="E208" s="188"/>
      <c r="F208" s="188"/>
      <c r="G208" s="188"/>
      <c r="H208" s="188"/>
      <c r="I208" s="188"/>
      <c r="J208" s="188"/>
      <c r="K208" s="188"/>
      <c r="L208" s="188"/>
      <c r="M208" s="188"/>
      <c r="N208" s="188"/>
      <c r="O208" s="188"/>
      <c r="P208" s="188"/>
      <c r="Q208" s="188"/>
      <c r="R208" s="188"/>
      <c r="S208" s="188"/>
      <c r="T208" s="188"/>
      <c r="U208" s="188"/>
    </row>
    <row r="209" spans="1:21" ht="15.75" customHeight="1">
      <c r="A209" s="346" t="s">
        <v>11</v>
      </c>
      <c r="B209" s="347" t="s">
        <v>796</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46" t="s">
        <v>13</v>
      </c>
      <c r="B210" s="188" t="s">
        <v>14</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46" t="s">
        <v>15</v>
      </c>
      <c r="B211" s="425">
        <f>B216</f>
        <v>0.82</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46" t="s">
        <v>16</v>
      </c>
      <c r="B212" s="188" t="s">
        <v>17</v>
      </c>
      <c r="C212" s="188"/>
      <c r="D212" s="188"/>
      <c r="E212" s="188"/>
      <c r="F212" s="188"/>
      <c r="G212" s="188"/>
      <c r="H212" s="188"/>
      <c r="I212" s="188"/>
      <c r="J212" s="188"/>
      <c r="K212" s="188"/>
      <c r="L212" s="188"/>
      <c r="M212" s="188"/>
      <c r="N212" s="188"/>
      <c r="O212" s="188"/>
      <c r="P212" s="188"/>
      <c r="Q212" s="188"/>
      <c r="R212" s="188"/>
      <c r="S212" s="188"/>
      <c r="T212" s="188"/>
      <c r="U212" s="188"/>
    </row>
    <row r="213" spans="1:21">
      <c r="A213" s="346" t="s">
        <v>18</v>
      </c>
      <c r="B213" s="188" t="s">
        <v>609</v>
      </c>
      <c r="C213" s="188"/>
      <c r="D213" s="188"/>
      <c r="E213" s="188"/>
      <c r="F213" s="188"/>
      <c r="G213" s="188"/>
      <c r="H213" s="188"/>
      <c r="I213" s="188"/>
      <c r="J213" s="188"/>
      <c r="K213" s="188"/>
      <c r="L213" s="188"/>
      <c r="M213" s="188"/>
      <c r="N213" s="188"/>
      <c r="O213" s="188"/>
      <c r="P213" s="188"/>
      <c r="Q213" s="188"/>
      <c r="R213" s="188"/>
      <c r="S213" s="415"/>
      <c r="T213" s="188"/>
      <c r="U213" s="188"/>
    </row>
    <row r="214" spans="1:21">
      <c r="A214" s="343" t="s">
        <v>19</v>
      </c>
      <c r="B214" s="188"/>
      <c r="C214" s="188"/>
      <c r="D214" s="188"/>
      <c r="E214" s="188"/>
      <c r="F214" s="188"/>
      <c r="G214" s="188"/>
      <c r="H214" s="188"/>
      <c r="I214" s="188"/>
      <c r="J214" s="188"/>
      <c r="K214" s="188"/>
      <c r="L214" s="188"/>
      <c r="M214" s="188"/>
      <c r="N214" s="188"/>
      <c r="O214" s="188"/>
      <c r="P214" s="188"/>
      <c r="Q214" s="188"/>
      <c r="R214" s="188"/>
      <c r="S214" s="188"/>
      <c r="T214" s="188"/>
      <c r="U214" s="188"/>
    </row>
    <row r="215" spans="1:21">
      <c r="A215" s="344" t="s">
        <v>20</v>
      </c>
      <c r="B215" s="344" t="s">
        <v>21</v>
      </c>
      <c r="C215" s="344" t="s">
        <v>18</v>
      </c>
      <c r="D215" s="344" t="s">
        <v>22</v>
      </c>
      <c r="E215" s="344" t="s">
        <v>7</v>
      </c>
      <c r="F215" s="344" t="s">
        <v>13</v>
      </c>
      <c r="G215" s="344" t="s">
        <v>16</v>
      </c>
      <c r="H215" s="344" t="s">
        <v>23</v>
      </c>
      <c r="I215" s="344" t="s">
        <v>24</v>
      </c>
      <c r="J215" s="344" t="s">
        <v>25</v>
      </c>
      <c r="K215" s="344" t="s">
        <v>26</v>
      </c>
      <c r="L215" s="344" t="s">
        <v>27</v>
      </c>
      <c r="M215" s="344" t="s">
        <v>28</v>
      </c>
      <c r="N215" s="344" t="s">
        <v>11</v>
      </c>
      <c r="O215" s="188"/>
      <c r="P215" s="188"/>
      <c r="Q215" s="188"/>
      <c r="R215" s="188"/>
      <c r="S215" s="188"/>
      <c r="T215" s="188"/>
      <c r="U215" s="188"/>
    </row>
    <row r="216" spans="1:21">
      <c r="A216" s="188" t="s">
        <v>1119</v>
      </c>
      <c r="B216" s="415">
        <f>P216</f>
        <v>0.82</v>
      </c>
      <c r="C216" s="188" t="s">
        <v>609</v>
      </c>
      <c r="D216" s="408" t="s">
        <v>2</v>
      </c>
      <c r="E216" s="188" t="s">
        <v>29</v>
      </c>
      <c r="F216" s="188" t="s">
        <v>14</v>
      </c>
      <c r="G216" s="188" t="s">
        <v>30</v>
      </c>
      <c r="H216" s="188">
        <v>1</v>
      </c>
      <c r="I216" s="188">
        <f>B216</f>
        <v>0.82</v>
      </c>
      <c r="J216" s="188" t="s">
        <v>31</v>
      </c>
      <c r="K216" s="188" t="s">
        <v>31</v>
      </c>
      <c r="L216" s="188" t="s">
        <v>31</v>
      </c>
      <c r="M216" s="188" t="s">
        <v>31</v>
      </c>
      <c r="N216" s="188"/>
      <c r="O216" s="401" t="s">
        <v>610</v>
      </c>
      <c r="P216" s="485">
        <v>0.82</v>
      </c>
      <c r="Q216" s="188"/>
      <c r="R216" s="188"/>
      <c r="S216" s="188"/>
      <c r="T216" s="188"/>
      <c r="U216" s="188"/>
    </row>
    <row r="217" spans="1:21">
      <c r="A217" s="188" t="s">
        <v>1077</v>
      </c>
      <c r="B217" s="415">
        <f>'2C. Reusable'!B81</f>
        <v>4.9400000000000004</v>
      </c>
      <c r="C217" s="188" t="s">
        <v>37</v>
      </c>
      <c r="D217" s="408" t="s">
        <v>2</v>
      </c>
      <c r="E217" s="188" t="s">
        <v>29</v>
      </c>
      <c r="F217" s="188" t="s">
        <v>14</v>
      </c>
      <c r="G217" s="188" t="s">
        <v>33</v>
      </c>
      <c r="H217" s="188">
        <v>1</v>
      </c>
      <c r="I217" s="188">
        <f>B217</f>
        <v>4.9400000000000004</v>
      </c>
      <c r="J217" s="188" t="s">
        <v>31</v>
      </c>
      <c r="K217" s="188" t="s">
        <v>31</v>
      </c>
      <c r="L217" s="188" t="s">
        <v>31</v>
      </c>
      <c r="M217" s="188" t="s">
        <v>31</v>
      </c>
      <c r="N217" s="188"/>
      <c r="O217" s="432"/>
      <c r="P217" s="455">
        <v>0.93</v>
      </c>
      <c r="Q217" s="188" t="s">
        <v>1043</v>
      </c>
      <c r="R217" s="188"/>
      <c r="S217" s="188"/>
      <c r="T217" s="188"/>
      <c r="U217" s="188"/>
    </row>
    <row r="218" spans="1:21">
      <c r="A218" s="346" t="s">
        <v>269</v>
      </c>
      <c r="B218" s="350">
        <f>P218</f>
        <v>0.38</v>
      </c>
      <c r="C218" s="188" t="s">
        <v>39</v>
      </c>
      <c r="D218" s="188" t="s">
        <v>40</v>
      </c>
      <c r="E218" s="188" t="s">
        <v>29</v>
      </c>
      <c r="F218" s="37" t="s">
        <v>35</v>
      </c>
      <c r="G218" s="188" t="s">
        <v>33</v>
      </c>
      <c r="H218" s="188">
        <v>2</v>
      </c>
      <c r="I218" s="188">
        <f t="shared" ref="I218:I219" si="16">LN(B218)</f>
        <v>-0.96758402626170559</v>
      </c>
      <c r="J218" s="188">
        <v>7.2284161474004766E-2</v>
      </c>
      <c r="K218" s="188" t="s">
        <v>31</v>
      </c>
      <c r="L218" s="188" t="s">
        <v>31</v>
      </c>
      <c r="M218" s="188" t="s">
        <v>31</v>
      </c>
      <c r="N218" s="188"/>
      <c r="O218" s="401" t="s">
        <v>248</v>
      </c>
      <c r="P218" s="138">
        <v>0.38</v>
      </c>
      <c r="Q218" s="188"/>
      <c r="R218" s="188"/>
      <c r="S218" s="188"/>
      <c r="T218" s="188"/>
      <c r="U218" s="188"/>
    </row>
    <row r="219" spans="1:21">
      <c r="A219" s="88" t="s">
        <v>310</v>
      </c>
      <c r="B219" s="188">
        <f>R219</f>
        <v>9.0000000000000011E-3</v>
      </c>
      <c r="C219" s="415" t="s">
        <v>37</v>
      </c>
      <c r="D219" s="188" t="s">
        <v>40</v>
      </c>
      <c r="E219" s="188" t="s">
        <v>29</v>
      </c>
      <c r="F219" s="188" t="s">
        <v>59</v>
      </c>
      <c r="G219" s="188" t="s">
        <v>33</v>
      </c>
      <c r="H219" s="188">
        <v>2</v>
      </c>
      <c r="I219" s="188">
        <f t="shared" si="16"/>
        <v>-4.7105307016459177</v>
      </c>
      <c r="J219" s="188">
        <v>7.2284161474004766E-2</v>
      </c>
      <c r="K219" s="188" t="s">
        <v>31</v>
      </c>
      <c r="L219" s="188" t="s">
        <v>31</v>
      </c>
      <c r="M219" s="188" t="s">
        <v>31</v>
      </c>
      <c r="N219" s="188"/>
      <c r="O219" s="401" t="s">
        <v>580</v>
      </c>
      <c r="P219" s="138">
        <v>9</v>
      </c>
      <c r="Q219" s="188" t="s">
        <v>241</v>
      </c>
      <c r="R219" s="188">
        <f>P219*0.001</f>
        <v>9.0000000000000011E-3</v>
      </c>
      <c r="S219" s="188"/>
      <c r="T219" s="188"/>
      <c r="U219" s="188"/>
    </row>
    <row r="220" spans="1:21">
      <c r="A220" s="112" t="s">
        <v>871</v>
      </c>
      <c r="B220" s="188">
        <f t="shared" ref="B220:B221" si="17">R220</f>
        <v>1.6E-2</v>
      </c>
      <c r="C220" s="188" t="s">
        <v>37</v>
      </c>
      <c r="D220" s="188" t="s">
        <v>40</v>
      </c>
      <c r="E220" s="188" t="s">
        <v>29</v>
      </c>
      <c r="F220" s="37" t="s">
        <v>35</v>
      </c>
      <c r="G220" s="188" t="s">
        <v>33</v>
      </c>
      <c r="H220" s="188">
        <v>2</v>
      </c>
      <c r="I220" s="188">
        <f>LN(B220)</f>
        <v>-4.1351665567423561</v>
      </c>
      <c r="J220" s="188">
        <v>7.2284161474004766E-2</v>
      </c>
      <c r="K220" s="188" t="s">
        <v>31</v>
      </c>
      <c r="L220" s="188" t="s">
        <v>31</v>
      </c>
      <c r="M220" s="188" t="s">
        <v>31</v>
      </c>
      <c r="N220" s="188"/>
      <c r="O220" s="401" t="s">
        <v>580</v>
      </c>
      <c r="P220" s="138">
        <v>16</v>
      </c>
      <c r="Q220" s="188" t="s">
        <v>241</v>
      </c>
      <c r="R220" s="188">
        <f>P220*0.001</f>
        <v>1.6E-2</v>
      </c>
      <c r="S220" s="188"/>
      <c r="T220" s="188"/>
      <c r="U220" s="188"/>
    </row>
    <row r="221" spans="1:21">
      <c r="A221" s="346" t="s">
        <v>799</v>
      </c>
      <c r="B221" s="188">
        <f t="shared" si="17"/>
        <v>14.5</v>
      </c>
      <c r="C221" s="188" t="s">
        <v>37</v>
      </c>
      <c r="D221" s="188" t="s">
        <v>40</v>
      </c>
      <c r="E221" s="188" t="s">
        <v>29</v>
      </c>
      <c r="F221" s="37" t="s">
        <v>74</v>
      </c>
      <c r="G221" s="188" t="s">
        <v>33</v>
      </c>
      <c r="H221" s="188">
        <v>2</v>
      </c>
      <c r="I221" s="188">
        <f t="shared" ref="I221:I222" si="18">LN(B221)</f>
        <v>2.6741486494265287</v>
      </c>
      <c r="J221" s="188">
        <v>7.2284161474004766E-2</v>
      </c>
      <c r="K221" s="188" t="s">
        <v>31</v>
      </c>
      <c r="L221" s="188" t="s">
        <v>31</v>
      </c>
      <c r="M221" s="188" t="s">
        <v>31</v>
      </c>
      <c r="N221" s="188"/>
      <c r="O221" s="401" t="s">
        <v>241</v>
      </c>
      <c r="P221" s="138">
        <v>14.5</v>
      </c>
      <c r="Q221" s="188" t="s">
        <v>241</v>
      </c>
      <c r="R221" s="188">
        <f>P221</f>
        <v>14.5</v>
      </c>
      <c r="S221" s="188"/>
      <c r="T221" s="188"/>
      <c r="U221" s="188"/>
    </row>
    <row r="222" spans="1:21">
      <c r="A222" s="88" t="s">
        <v>76</v>
      </c>
      <c r="B222" s="188">
        <f>R222</f>
        <v>1.4500000000000001E-2</v>
      </c>
      <c r="C222" s="188" t="s">
        <v>42</v>
      </c>
      <c r="D222" s="188" t="s">
        <v>40</v>
      </c>
      <c r="E222" s="188" t="s">
        <v>29</v>
      </c>
      <c r="F222" s="37" t="s">
        <v>74</v>
      </c>
      <c r="G222" s="188" t="s">
        <v>33</v>
      </c>
      <c r="H222" s="188">
        <v>2</v>
      </c>
      <c r="I222" s="188">
        <f t="shared" si="18"/>
        <v>-4.2336066295556085</v>
      </c>
      <c r="J222" s="188">
        <v>7.2284161474004766E-2</v>
      </c>
      <c r="K222" s="188" t="s">
        <v>31</v>
      </c>
      <c r="L222" s="188" t="s">
        <v>31</v>
      </c>
      <c r="M222" s="188" t="s">
        <v>31</v>
      </c>
      <c r="N222" s="188"/>
      <c r="O222" s="418" t="s">
        <v>863</v>
      </c>
      <c r="P222" s="142">
        <v>14.5</v>
      </c>
      <c r="Q222" s="188" t="s">
        <v>251</v>
      </c>
      <c r="R222" s="188">
        <f>0.001*P222</f>
        <v>1.4500000000000001E-2</v>
      </c>
      <c r="S222" s="188"/>
      <c r="T222" s="188"/>
      <c r="U222" s="188"/>
    </row>
    <row r="223" spans="1:21" s="70" customFormat="1">
      <c r="A223" s="370" t="s">
        <v>5</v>
      </c>
      <c r="B223" s="446" t="s">
        <v>1112</v>
      </c>
      <c r="C223" s="372"/>
      <c r="D223" s="353"/>
      <c r="E223" s="353"/>
      <c r="F223" s="353"/>
      <c r="G223" s="353"/>
      <c r="H223" s="353"/>
      <c r="I223" s="353"/>
      <c r="J223" s="353"/>
      <c r="K223" s="353"/>
      <c r="L223" s="353"/>
      <c r="M223" s="353"/>
      <c r="N223" s="353"/>
      <c r="O223" s="353"/>
      <c r="P223" s="188"/>
      <c r="Q223" s="353"/>
      <c r="R223" s="353"/>
      <c r="S223" s="353"/>
      <c r="T223" s="353"/>
      <c r="U223" s="353"/>
    </row>
    <row r="224" spans="1:21">
      <c r="A224" s="346" t="s">
        <v>7</v>
      </c>
      <c r="B224" s="188" t="s">
        <v>786</v>
      </c>
      <c r="C224" s="345"/>
      <c r="D224" s="188"/>
      <c r="E224" s="188"/>
      <c r="F224" s="188"/>
      <c r="G224" s="188"/>
      <c r="H224" s="188"/>
      <c r="I224" s="188"/>
      <c r="J224" s="188"/>
      <c r="K224" s="188"/>
      <c r="L224" s="188"/>
      <c r="M224" s="188"/>
      <c r="N224" s="188"/>
      <c r="O224" s="188"/>
      <c r="P224" s="188"/>
      <c r="Q224" s="188"/>
      <c r="R224" s="188"/>
      <c r="S224" s="188"/>
      <c r="T224" s="188"/>
      <c r="U224" s="188"/>
    </row>
    <row r="225" spans="1:21">
      <c r="A225" s="424" t="s">
        <v>9</v>
      </c>
      <c r="B225" s="188" t="s">
        <v>1121</v>
      </c>
      <c r="C225" s="345"/>
      <c r="D225" s="188"/>
      <c r="E225" s="188"/>
      <c r="F225" s="188"/>
      <c r="G225" s="188"/>
      <c r="H225" s="188"/>
      <c r="I225" s="188"/>
      <c r="J225" s="188"/>
      <c r="K225" s="188"/>
      <c r="L225" s="188"/>
      <c r="M225" s="188"/>
      <c r="N225" s="188"/>
      <c r="O225" s="188"/>
      <c r="P225" s="188"/>
      <c r="Q225" s="188"/>
      <c r="R225" s="188"/>
      <c r="S225" s="188"/>
      <c r="T225" s="188"/>
      <c r="U225" s="188"/>
    </row>
    <row r="226" spans="1:21" ht="15.75" customHeight="1">
      <c r="A226" s="346" t="s">
        <v>11</v>
      </c>
      <c r="B226" s="347" t="s">
        <v>796</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46" t="s">
        <v>13</v>
      </c>
      <c r="B227" s="188" t="s">
        <v>14</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46" t="s">
        <v>15</v>
      </c>
      <c r="B228" s="425">
        <f>B233</f>
        <v>1.7000000000000001E-2</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46" t="s">
        <v>16</v>
      </c>
      <c r="B229" s="188" t="s">
        <v>17</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46" t="s">
        <v>18</v>
      </c>
      <c r="B230" s="188" t="s">
        <v>609</v>
      </c>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43" t="s">
        <v>19</v>
      </c>
      <c r="B231" s="188"/>
      <c r="C231" s="188"/>
      <c r="D231" s="188"/>
      <c r="E231" s="188"/>
      <c r="F231" s="188"/>
      <c r="G231" s="188"/>
      <c r="H231" s="188"/>
      <c r="I231" s="188"/>
      <c r="J231" s="188"/>
      <c r="K231" s="188"/>
      <c r="L231" s="188"/>
      <c r="M231" s="188"/>
      <c r="N231" s="188"/>
      <c r="O231" s="188"/>
      <c r="P231" s="188"/>
      <c r="Q231" s="188"/>
      <c r="R231" s="188"/>
      <c r="S231" s="188"/>
      <c r="T231" s="188"/>
      <c r="U231" s="188"/>
    </row>
    <row r="232" spans="1:21">
      <c r="A232" s="344" t="s">
        <v>20</v>
      </c>
      <c r="B232" s="344" t="s">
        <v>21</v>
      </c>
      <c r="C232" s="344" t="s">
        <v>18</v>
      </c>
      <c r="D232" s="344" t="s">
        <v>22</v>
      </c>
      <c r="E232" s="344" t="s">
        <v>7</v>
      </c>
      <c r="F232" s="344" t="s">
        <v>13</v>
      </c>
      <c r="G232" s="344" t="s">
        <v>16</v>
      </c>
      <c r="H232" s="344" t="s">
        <v>23</v>
      </c>
      <c r="I232" s="344" t="s">
        <v>24</v>
      </c>
      <c r="J232" s="344" t="s">
        <v>25</v>
      </c>
      <c r="K232" s="344" t="s">
        <v>26</v>
      </c>
      <c r="L232" s="344" t="s">
        <v>27</v>
      </c>
      <c r="M232" s="344" t="s">
        <v>28</v>
      </c>
      <c r="N232" s="344" t="s">
        <v>11</v>
      </c>
      <c r="O232" s="188"/>
      <c r="P232" s="188"/>
      <c r="Q232" s="188"/>
      <c r="R232" s="188"/>
      <c r="S232" s="188"/>
      <c r="T232" s="188"/>
      <c r="U232" s="188"/>
    </row>
    <row r="233" spans="1:21">
      <c r="A233" s="188" t="s">
        <v>1112</v>
      </c>
      <c r="B233" s="415">
        <f>P233</f>
        <v>1.7000000000000001E-2</v>
      </c>
      <c r="C233" s="188" t="s">
        <v>609</v>
      </c>
      <c r="D233" s="408" t="s">
        <v>2</v>
      </c>
      <c r="E233" s="188" t="s">
        <v>29</v>
      </c>
      <c r="F233" s="37" t="s">
        <v>14</v>
      </c>
      <c r="G233" s="188" t="s">
        <v>30</v>
      </c>
      <c r="H233" s="188">
        <v>1</v>
      </c>
      <c r="I233" s="188">
        <f>B233</f>
        <v>1.7000000000000001E-2</v>
      </c>
      <c r="J233" s="188" t="s">
        <v>31</v>
      </c>
      <c r="K233" s="188" t="s">
        <v>31</v>
      </c>
      <c r="L233" s="188" t="s">
        <v>31</v>
      </c>
      <c r="M233" s="188" t="s">
        <v>31</v>
      </c>
      <c r="N233" s="188"/>
      <c r="O233" s="471" t="s">
        <v>823</v>
      </c>
      <c r="P233" s="472">
        <v>1.7000000000000001E-2</v>
      </c>
      <c r="Q233" s="188"/>
      <c r="R233" s="188"/>
      <c r="S233" s="188"/>
      <c r="T233" s="188"/>
      <c r="U233" s="188"/>
    </row>
    <row r="234" spans="1:21">
      <c r="A234" s="188" t="s">
        <v>1122</v>
      </c>
      <c r="B234" s="415">
        <f>B254</f>
        <v>1.7000000000000001E-2</v>
      </c>
      <c r="C234" s="188" t="s">
        <v>609</v>
      </c>
      <c r="D234" s="408" t="s">
        <v>2</v>
      </c>
      <c r="E234" s="188" t="s">
        <v>29</v>
      </c>
      <c r="F234" s="37" t="s">
        <v>14</v>
      </c>
      <c r="G234" s="188" t="s">
        <v>33</v>
      </c>
      <c r="H234" s="188">
        <v>1</v>
      </c>
      <c r="I234" s="188">
        <f>B234</f>
        <v>1.7000000000000001E-2</v>
      </c>
      <c r="J234" s="188" t="s">
        <v>31</v>
      </c>
      <c r="K234" s="188" t="s">
        <v>31</v>
      </c>
      <c r="L234" s="188" t="s">
        <v>31</v>
      </c>
      <c r="M234" s="188" t="s">
        <v>31</v>
      </c>
      <c r="N234" s="188"/>
      <c r="O234" s="471" t="s">
        <v>823</v>
      </c>
      <c r="P234" s="472">
        <v>1.7000000000000001E-2</v>
      </c>
      <c r="Q234" s="188"/>
      <c r="R234" s="188"/>
      <c r="S234" s="188"/>
      <c r="T234" s="188"/>
      <c r="U234" s="188"/>
    </row>
    <row r="235" spans="1:21">
      <c r="A235" s="188" t="s">
        <v>1123</v>
      </c>
      <c r="B235" s="415">
        <f>B242</f>
        <v>2.8700000000000002E-3</v>
      </c>
      <c r="C235" s="188" t="s">
        <v>609</v>
      </c>
      <c r="D235" s="408" t="s">
        <v>2</v>
      </c>
      <c r="E235" s="188" t="s">
        <v>29</v>
      </c>
      <c r="F235" s="37" t="s">
        <v>14</v>
      </c>
      <c r="G235" s="188" t="s">
        <v>33</v>
      </c>
      <c r="H235" s="188">
        <v>1</v>
      </c>
      <c r="I235" s="188">
        <f>B235</f>
        <v>2.8700000000000002E-3</v>
      </c>
      <c r="J235" s="188" t="s">
        <v>31</v>
      </c>
      <c r="K235" s="188" t="s">
        <v>31</v>
      </c>
      <c r="L235" s="188" t="s">
        <v>31</v>
      </c>
      <c r="M235" s="188" t="s">
        <v>31</v>
      </c>
      <c r="N235" s="188"/>
      <c r="O235" s="400" t="s">
        <v>823</v>
      </c>
      <c r="P235" s="469">
        <v>2.8999999999999998E-3</v>
      </c>
      <c r="Q235" s="188"/>
      <c r="R235" s="188"/>
      <c r="S235" s="188"/>
      <c r="T235" s="188"/>
      <c r="U235" s="188"/>
    </row>
    <row r="236" spans="1:21">
      <c r="A236" s="346" t="s">
        <v>269</v>
      </c>
      <c r="B236" s="415">
        <f>P236</f>
        <v>0.4</v>
      </c>
      <c r="C236" s="188" t="s">
        <v>39</v>
      </c>
      <c r="D236" s="188" t="s">
        <v>40</v>
      </c>
      <c r="E236" s="188" t="s">
        <v>29</v>
      </c>
      <c r="F236" s="37" t="s">
        <v>35</v>
      </c>
      <c r="G236" s="188" t="s">
        <v>33</v>
      </c>
      <c r="H236" s="188">
        <v>2</v>
      </c>
      <c r="I236" s="188">
        <f t="shared" ref="I236" si="19">LN(B236)</f>
        <v>-0.916290731874155</v>
      </c>
      <c r="J236" s="188">
        <v>0.20928449536456342</v>
      </c>
      <c r="K236" s="188" t="s">
        <v>31</v>
      </c>
      <c r="L236" s="188" t="s">
        <v>31</v>
      </c>
      <c r="M236" s="188" t="s">
        <v>31</v>
      </c>
      <c r="N236" s="188"/>
      <c r="O236" s="401" t="s">
        <v>248</v>
      </c>
      <c r="P236" s="414">
        <v>0.4</v>
      </c>
      <c r="Q236" s="188"/>
      <c r="R236" s="188"/>
      <c r="S236" s="188"/>
      <c r="T236" s="188"/>
      <c r="U236" s="188"/>
    </row>
    <row r="237" spans="1:21" s="70" customFormat="1">
      <c r="A237" s="370" t="s">
        <v>5</v>
      </c>
      <c r="B237" s="446" t="s">
        <v>1123</v>
      </c>
      <c r="C237" s="372"/>
      <c r="D237" s="353"/>
      <c r="E237" s="353"/>
      <c r="F237" s="353"/>
      <c r="G237" s="353"/>
      <c r="H237" s="353"/>
      <c r="I237" s="353"/>
      <c r="J237" s="353"/>
      <c r="K237" s="353"/>
      <c r="L237" s="353"/>
      <c r="M237" s="353"/>
      <c r="N237" s="353"/>
      <c r="O237" s="353"/>
      <c r="P237" s="353"/>
      <c r="Q237" s="353"/>
      <c r="R237" s="353"/>
      <c r="S237" s="353"/>
      <c r="T237" s="353"/>
      <c r="U237" s="353"/>
    </row>
    <row r="238" spans="1:21">
      <c r="A238" s="346" t="s">
        <v>7</v>
      </c>
      <c r="B238" s="188" t="s">
        <v>786</v>
      </c>
      <c r="C238" s="345"/>
      <c r="D238" s="188"/>
      <c r="E238" s="188"/>
      <c r="F238" s="188"/>
      <c r="G238" s="188"/>
      <c r="H238" s="188"/>
      <c r="I238" s="188"/>
      <c r="J238" s="188"/>
      <c r="K238" s="188"/>
      <c r="L238" s="188"/>
      <c r="M238" s="188"/>
      <c r="N238" s="188"/>
      <c r="O238" s="188"/>
      <c r="P238" s="188"/>
      <c r="Q238" s="188"/>
      <c r="R238" s="188"/>
      <c r="S238" s="188"/>
      <c r="T238" s="188"/>
      <c r="U238" s="188"/>
    </row>
    <row r="239" spans="1:21">
      <c r="A239" s="424" t="s">
        <v>9</v>
      </c>
      <c r="B239" s="188" t="s">
        <v>1124</v>
      </c>
      <c r="C239" s="345"/>
      <c r="D239" s="188"/>
      <c r="E239" s="188"/>
      <c r="F239" s="188"/>
      <c r="G239" s="188"/>
      <c r="H239" s="188"/>
      <c r="I239" s="188"/>
      <c r="J239" s="188"/>
      <c r="K239" s="188"/>
      <c r="L239" s="188"/>
      <c r="M239" s="188"/>
      <c r="N239" s="188"/>
      <c r="O239" s="188"/>
      <c r="P239" s="188"/>
      <c r="Q239" s="188"/>
      <c r="R239" s="188"/>
      <c r="S239" s="188"/>
      <c r="T239" s="188"/>
      <c r="U239" s="188"/>
    </row>
    <row r="240" spans="1:21" ht="15.75" customHeight="1">
      <c r="A240" s="346" t="s">
        <v>11</v>
      </c>
      <c r="B240" s="347" t="s">
        <v>796</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46" t="s">
        <v>13</v>
      </c>
      <c r="B241" s="188" t="s">
        <v>14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46" t="s">
        <v>15</v>
      </c>
      <c r="B242" s="415">
        <f>B247</f>
        <v>2.8700000000000002E-3</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46" t="s">
        <v>16</v>
      </c>
      <c r="B243" s="188" t="s">
        <v>17</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46" t="s">
        <v>18</v>
      </c>
      <c r="B244" s="188" t="s">
        <v>609</v>
      </c>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43" t="s">
        <v>19</v>
      </c>
      <c r="B245" s="188"/>
      <c r="C245" s="188"/>
      <c r="D245" s="188"/>
      <c r="E245" s="188"/>
      <c r="F245" s="188"/>
      <c r="G245" s="188"/>
      <c r="H245" s="188"/>
      <c r="I245" s="188"/>
      <c r="J245" s="188"/>
      <c r="K245" s="188"/>
      <c r="L245" s="188"/>
      <c r="M245" s="188"/>
      <c r="N245" s="188"/>
      <c r="O245" s="188"/>
      <c r="P245" s="188"/>
      <c r="Q245" s="188"/>
      <c r="R245" s="188"/>
      <c r="S245" s="188"/>
      <c r="T245" s="188"/>
      <c r="U245" s="188"/>
    </row>
    <row r="246" spans="1:21">
      <c r="A246" s="344" t="s">
        <v>20</v>
      </c>
      <c r="B246" s="344" t="s">
        <v>21</v>
      </c>
      <c r="C246" s="344" t="s">
        <v>18</v>
      </c>
      <c r="D246" s="344" t="s">
        <v>22</v>
      </c>
      <c r="E246" s="344" t="s">
        <v>7</v>
      </c>
      <c r="F246" s="344" t="s">
        <v>13</v>
      </c>
      <c r="G246" s="344" t="s">
        <v>16</v>
      </c>
      <c r="H246" s="344" t="s">
        <v>23</v>
      </c>
      <c r="I246" s="344" t="s">
        <v>24</v>
      </c>
      <c r="J246" s="344" t="s">
        <v>25</v>
      </c>
      <c r="K246" s="344" t="s">
        <v>26</v>
      </c>
      <c r="L246" s="344" t="s">
        <v>27</v>
      </c>
      <c r="M246" s="344" t="s">
        <v>28</v>
      </c>
      <c r="N246" s="344" t="s">
        <v>11</v>
      </c>
      <c r="O246" s="188"/>
      <c r="P246" s="188"/>
      <c r="Q246" s="188"/>
      <c r="R246" s="188"/>
      <c r="S246" s="188"/>
      <c r="T246" s="188"/>
      <c r="U246" s="188"/>
    </row>
    <row r="247" spans="1:21">
      <c r="A247" s="188" t="s">
        <v>1123</v>
      </c>
      <c r="B247" s="415">
        <f>S247</f>
        <v>2.8700000000000002E-3</v>
      </c>
      <c r="C247" s="188" t="s">
        <v>609</v>
      </c>
      <c r="D247" s="408" t="s">
        <v>2</v>
      </c>
      <c r="E247" s="188" t="s">
        <v>29</v>
      </c>
      <c r="F247" s="37" t="s">
        <v>14</v>
      </c>
      <c r="G247" s="188" t="s">
        <v>30</v>
      </c>
      <c r="H247" s="188">
        <v>1</v>
      </c>
      <c r="I247" s="188">
        <f>B247</f>
        <v>2.8700000000000002E-3</v>
      </c>
      <c r="J247" s="188" t="s">
        <v>31</v>
      </c>
      <c r="K247" s="188" t="s">
        <v>31</v>
      </c>
      <c r="L247" s="188" t="s">
        <v>31</v>
      </c>
      <c r="M247" s="188" t="s">
        <v>31</v>
      </c>
      <c r="N247" s="188"/>
      <c r="O247" s="188"/>
      <c r="P247" s="401" t="s">
        <v>1125</v>
      </c>
      <c r="Q247" s="414">
        <v>28.7</v>
      </c>
      <c r="R247" s="188" t="s">
        <v>610</v>
      </c>
      <c r="S247" s="188">
        <f>Q247*0.0001</f>
        <v>2.8700000000000002E-3</v>
      </c>
      <c r="T247" s="188"/>
      <c r="U247" s="188"/>
    </row>
    <row r="248" spans="1:21">
      <c r="A248" s="88" t="s">
        <v>947</v>
      </c>
      <c r="B248" s="415">
        <f>S248</f>
        <v>2.8700000000000002E-3</v>
      </c>
      <c r="C248" s="188" t="s">
        <v>609</v>
      </c>
      <c r="D248" s="188" t="s">
        <v>40</v>
      </c>
      <c r="E248" s="188" t="s">
        <v>29</v>
      </c>
      <c r="F248" s="188" t="s">
        <v>59</v>
      </c>
      <c r="G248" s="188" t="s">
        <v>33</v>
      </c>
      <c r="H248" s="188">
        <v>2</v>
      </c>
      <c r="I248" s="188">
        <f>LN(B248)</f>
        <v>-5.8534432492106072</v>
      </c>
      <c r="J248" s="188">
        <v>3.7749172176353707E-2</v>
      </c>
      <c r="K248" s="188" t="s">
        <v>31</v>
      </c>
      <c r="L248" s="188" t="s">
        <v>31</v>
      </c>
      <c r="M248" s="188" t="s">
        <v>31</v>
      </c>
      <c r="N248" s="188"/>
      <c r="O248" s="188"/>
      <c r="P248" s="400" t="s">
        <v>1125</v>
      </c>
      <c r="Q248" s="455">
        <v>28.7</v>
      </c>
      <c r="R248" s="188" t="s">
        <v>610</v>
      </c>
      <c r="S248" s="188">
        <f>Q248*0.0001</f>
        <v>2.8700000000000002E-3</v>
      </c>
      <c r="T248" s="188"/>
      <c r="U248" s="188"/>
    </row>
    <row r="249" spans="1:21" s="70" customFormat="1">
      <c r="A249" s="370" t="s">
        <v>5</v>
      </c>
      <c r="B249" s="371" t="s">
        <v>1122</v>
      </c>
      <c r="C249" s="353"/>
      <c r="D249" s="353"/>
      <c r="E249" s="353"/>
      <c r="F249" s="353"/>
      <c r="G249" s="353"/>
      <c r="H249" s="353"/>
      <c r="I249" s="353"/>
      <c r="J249" s="353"/>
      <c r="K249" s="353"/>
      <c r="L249" s="353"/>
      <c r="M249" s="353"/>
      <c r="N249" s="353"/>
      <c r="O249" s="353"/>
      <c r="P249" s="353"/>
      <c r="Q249" s="353"/>
      <c r="R249" s="353"/>
      <c r="S249" s="353"/>
      <c r="T249" s="353"/>
      <c r="U249" s="353"/>
    </row>
    <row r="250" spans="1:21">
      <c r="A250" s="346" t="s">
        <v>7</v>
      </c>
      <c r="B250" s="188" t="s">
        <v>786</v>
      </c>
      <c r="C250" s="345"/>
      <c r="D250" s="188"/>
      <c r="E250" s="188"/>
      <c r="F250" s="188"/>
      <c r="G250" s="188"/>
      <c r="H250" s="188"/>
      <c r="I250" s="188"/>
      <c r="J250" s="188"/>
      <c r="K250" s="188"/>
      <c r="L250" s="188"/>
      <c r="M250" s="188"/>
      <c r="N250" s="188"/>
      <c r="O250" s="188"/>
      <c r="P250" s="188"/>
      <c r="Q250" s="188"/>
      <c r="R250" s="188"/>
      <c r="S250" s="188"/>
      <c r="T250" s="188"/>
      <c r="U250" s="188"/>
    </row>
    <row r="251" spans="1:21">
      <c r="A251" s="424" t="s">
        <v>9</v>
      </c>
      <c r="B251" s="188" t="s">
        <v>1126</v>
      </c>
      <c r="C251" s="345"/>
      <c r="D251" s="188"/>
      <c r="E251" s="188"/>
      <c r="F251" s="188"/>
      <c r="G251" s="188"/>
      <c r="H251" s="188"/>
      <c r="I251" s="188"/>
      <c r="J251" s="188"/>
      <c r="K251" s="188"/>
      <c r="L251" s="188"/>
      <c r="M251" s="188"/>
      <c r="N251" s="188"/>
      <c r="O251" s="188"/>
      <c r="P251" s="188"/>
      <c r="Q251" s="188"/>
      <c r="R251" s="188"/>
      <c r="S251" s="188"/>
      <c r="T251" s="188"/>
      <c r="U251" s="188"/>
    </row>
    <row r="252" spans="1:21" ht="15.75" customHeight="1">
      <c r="A252" s="346" t="s">
        <v>11</v>
      </c>
      <c r="B252" s="347" t="s">
        <v>796</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46" t="s">
        <v>13</v>
      </c>
      <c r="B253" s="188" t="s">
        <v>14</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46" t="s">
        <v>15</v>
      </c>
      <c r="B254" s="415">
        <f>B259</f>
        <v>1.7000000000000001E-2</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46" t="s">
        <v>16</v>
      </c>
      <c r="B255" s="188" t="s">
        <v>17</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46" t="s">
        <v>18</v>
      </c>
      <c r="B256" s="188" t="s">
        <v>609</v>
      </c>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43" t="s">
        <v>19</v>
      </c>
      <c r="B257" s="188"/>
      <c r="C257" s="188"/>
      <c r="D257" s="188"/>
      <c r="E257" s="188"/>
      <c r="F257" s="188"/>
      <c r="G257" s="188"/>
      <c r="H257" s="188"/>
      <c r="I257" s="188"/>
      <c r="J257" s="188"/>
      <c r="K257" s="188"/>
      <c r="L257" s="188"/>
      <c r="M257" s="188"/>
      <c r="N257" s="188"/>
      <c r="O257" s="188"/>
      <c r="P257" s="188"/>
      <c r="Q257" s="188"/>
      <c r="R257" s="188"/>
      <c r="S257" s="188"/>
      <c r="T257" s="188"/>
      <c r="U257" s="188"/>
    </row>
    <row r="258" spans="1:21">
      <c r="A258" s="344" t="s">
        <v>20</v>
      </c>
      <c r="B258" s="344" t="s">
        <v>21</v>
      </c>
      <c r="C258" s="344" t="s">
        <v>18</v>
      </c>
      <c r="D258" s="344" t="s">
        <v>22</v>
      </c>
      <c r="E258" s="344" t="s">
        <v>7</v>
      </c>
      <c r="F258" s="344" t="s">
        <v>13</v>
      </c>
      <c r="G258" s="344" t="s">
        <v>16</v>
      </c>
      <c r="H258" s="344" t="s">
        <v>23</v>
      </c>
      <c r="I258" s="344" t="s">
        <v>24</v>
      </c>
      <c r="J258" s="344" t="s">
        <v>25</v>
      </c>
      <c r="K258" s="344" t="s">
        <v>26</v>
      </c>
      <c r="L258" s="344" t="s">
        <v>27</v>
      </c>
      <c r="M258" s="344" t="s">
        <v>28</v>
      </c>
      <c r="N258" s="344" t="s">
        <v>11</v>
      </c>
      <c r="O258" s="188"/>
      <c r="P258" s="188"/>
      <c r="Q258" s="188"/>
      <c r="R258" s="188"/>
      <c r="S258" s="188"/>
      <c r="T258" s="188"/>
      <c r="U258" s="188"/>
    </row>
    <row r="259" spans="1:21">
      <c r="A259" s="188" t="s">
        <v>1122</v>
      </c>
      <c r="B259" s="415">
        <f>B260</f>
        <v>1.7000000000000001E-2</v>
      </c>
      <c r="C259" s="188" t="s">
        <v>609</v>
      </c>
      <c r="D259" s="408" t="s">
        <v>2</v>
      </c>
      <c r="E259" s="188" t="s">
        <v>29</v>
      </c>
      <c r="F259" s="37" t="s">
        <v>14</v>
      </c>
      <c r="G259" s="188" t="s">
        <v>30</v>
      </c>
      <c r="H259" s="188">
        <v>1</v>
      </c>
      <c r="I259" s="188">
        <f t="shared" ref="I259:I260" si="20">B259</f>
        <v>1.7000000000000001E-2</v>
      </c>
      <c r="J259" s="188" t="s">
        <v>31</v>
      </c>
      <c r="K259" s="188" t="s">
        <v>31</v>
      </c>
      <c r="L259" s="188" t="s">
        <v>31</v>
      </c>
      <c r="M259" s="188" t="s">
        <v>31</v>
      </c>
      <c r="N259" s="188"/>
      <c r="O259" s="188"/>
      <c r="P259" s="188"/>
      <c r="Q259" s="188"/>
      <c r="R259" s="188"/>
      <c r="S259" s="188"/>
      <c r="T259" s="188"/>
      <c r="U259" s="188"/>
    </row>
    <row r="260" spans="1:21">
      <c r="A260" s="188" t="s">
        <v>1127</v>
      </c>
      <c r="B260" s="415">
        <f>P260</f>
        <v>1.7000000000000001E-2</v>
      </c>
      <c r="C260" s="188" t="s">
        <v>609</v>
      </c>
      <c r="D260" s="408" t="s">
        <v>2</v>
      </c>
      <c r="E260" s="188" t="s">
        <v>29</v>
      </c>
      <c r="F260" s="188" t="s">
        <v>14</v>
      </c>
      <c r="G260" s="188" t="s">
        <v>33</v>
      </c>
      <c r="H260" s="188">
        <v>1</v>
      </c>
      <c r="I260" s="188">
        <f t="shared" si="20"/>
        <v>1.7000000000000001E-2</v>
      </c>
      <c r="J260" s="188" t="s">
        <v>31</v>
      </c>
      <c r="K260" s="188" t="s">
        <v>31</v>
      </c>
      <c r="L260" s="188" t="s">
        <v>31</v>
      </c>
      <c r="M260" s="188" t="s">
        <v>31</v>
      </c>
      <c r="N260" s="188"/>
      <c r="O260" s="188"/>
      <c r="P260" s="470">
        <v>1.7000000000000001E-2</v>
      </c>
      <c r="Q260" s="188"/>
      <c r="R260" s="188"/>
      <c r="S260" s="188"/>
      <c r="T260" s="188"/>
      <c r="U260" s="188"/>
    </row>
    <row r="261" spans="1:21">
      <c r="A261" s="346" t="s">
        <v>269</v>
      </c>
      <c r="B261" s="350">
        <f>R261</f>
        <v>0.15</v>
      </c>
      <c r="C261" s="188" t="s">
        <v>39</v>
      </c>
      <c r="D261" s="188" t="s">
        <v>40</v>
      </c>
      <c r="E261" s="188" t="s">
        <v>29</v>
      </c>
      <c r="F261" s="37" t="s">
        <v>35</v>
      </c>
      <c r="G261" s="188" t="s">
        <v>33</v>
      </c>
      <c r="H261" s="188">
        <v>2</v>
      </c>
      <c r="I261" s="188">
        <f t="shared" ref="I261:I265" si="21">LN(B261)</f>
        <v>-1.8971199848858813</v>
      </c>
      <c r="J261" s="188">
        <v>0.20928449536456342</v>
      </c>
      <c r="K261" s="188" t="s">
        <v>31</v>
      </c>
      <c r="L261" s="188" t="s">
        <v>31</v>
      </c>
      <c r="M261" s="188" t="s">
        <v>31</v>
      </c>
      <c r="N261" s="188"/>
      <c r="O261" s="383" t="s">
        <v>248</v>
      </c>
      <c r="P261" s="138">
        <v>0.15</v>
      </c>
      <c r="Q261" s="188" t="s">
        <v>248</v>
      </c>
      <c r="R261" s="350">
        <f>P261</f>
        <v>0.15</v>
      </c>
      <c r="S261" s="188"/>
      <c r="T261" s="188"/>
      <c r="U261" s="188"/>
    </row>
    <row r="262" spans="1:21">
      <c r="A262" s="88" t="s">
        <v>798</v>
      </c>
      <c r="B262" s="188">
        <f>R262</f>
        <v>4.5999999999999999E-3</v>
      </c>
      <c r="C262" s="188" t="s">
        <v>37</v>
      </c>
      <c r="D262" s="188" t="s">
        <v>40</v>
      </c>
      <c r="E262" s="188" t="s">
        <v>29</v>
      </c>
      <c r="F262" s="37" t="s">
        <v>35</v>
      </c>
      <c r="G262" s="188" t="s">
        <v>33</v>
      </c>
      <c r="H262" s="188">
        <v>2</v>
      </c>
      <c r="I262" s="188">
        <f t="shared" si="21"/>
        <v>-5.3816989754870876</v>
      </c>
      <c r="J262" s="188">
        <v>0.20928449536456342</v>
      </c>
      <c r="K262" s="188" t="s">
        <v>31</v>
      </c>
      <c r="L262" s="188" t="s">
        <v>31</v>
      </c>
      <c r="M262" s="188" t="s">
        <v>31</v>
      </c>
      <c r="N262" s="188"/>
      <c r="O262" s="401" t="s">
        <v>580</v>
      </c>
      <c r="P262" s="138">
        <v>4.5999999999999996</v>
      </c>
      <c r="Q262" s="188" t="s">
        <v>241</v>
      </c>
      <c r="R262" s="188">
        <f>0.001*P262</f>
        <v>4.5999999999999999E-3</v>
      </c>
      <c r="S262" s="188"/>
      <c r="T262" s="188"/>
      <c r="U262" s="188"/>
    </row>
    <row r="263" spans="1:21">
      <c r="A263" s="88" t="s">
        <v>308</v>
      </c>
      <c r="B263" s="188">
        <f>R263</f>
        <v>6.9999999999999999E-4</v>
      </c>
      <c r="C263" s="188" t="s">
        <v>37</v>
      </c>
      <c r="D263" s="188" t="s">
        <v>40</v>
      </c>
      <c r="E263" s="188" t="s">
        <v>29</v>
      </c>
      <c r="F263" s="37" t="s">
        <v>59</v>
      </c>
      <c r="G263" s="188" t="s">
        <v>33</v>
      </c>
      <c r="H263" s="188">
        <v>2</v>
      </c>
      <c r="I263" s="188">
        <f t="shared" si="21"/>
        <v>-7.2644302229208693</v>
      </c>
      <c r="J263" s="188">
        <v>0.20928449536456342</v>
      </c>
      <c r="K263" s="188" t="s">
        <v>31</v>
      </c>
      <c r="L263" s="188" t="s">
        <v>31</v>
      </c>
      <c r="M263" s="188" t="s">
        <v>31</v>
      </c>
      <c r="N263" s="188"/>
      <c r="O263" s="401" t="s">
        <v>580</v>
      </c>
      <c r="P263" s="138">
        <v>0.7</v>
      </c>
      <c r="Q263" s="188" t="s">
        <v>241</v>
      </c>
      <c r="R263" s="188">
        <f>0.001*P263</f>
        <v>6.9999999999999999E-4</v>
      </c>
      <c r="S263" s="188"/>
      <c r="T263" s="188"/>
      <c r="U263" s="188"/>
    </row>
    <row r="264" spans="1:21">
      <c r="A264" s="346" t="s">
        <v>799</v>
      </c>
      <c r="B264" s="188">
        <f>R264</f>
        <v>2.2600000000000002E-2</v>
      </c>
      <c r="C264" s="188" t="s">
        <v>37</v>
      </c>
      <c r="D264" s="188" t="s">
        <v>40</v>
      </c>
      <c r="E264" s="188" t="s">
        <v>29</v>
      </c>
      <c r="F264" s="37" t="s">
        <v>74</v>
      </c>
      <c r="G264" s="188" t="s">
        <v>33</v>
      </c>
      <c r="H264" s="188">
        <v>2</v>
      </c>
      <c r="I264" s="188">
        <f t="shared" si="21"/>
        <v>-3.7898053727038969</v>
      </c>
      <c r="J264" s="188">
        <v>0.20928449536456342</v>
      </c>
      <c r="K264" s="188" t="s">
        <v>31</v>
      </c>
      <c r="L264" s="188" t="s">
        <v>31</v>
      </c>
      <c r="M264" s="188" t="s">
        <v>31</v>
      </c>
      <c r="N264" s="188"/>
      <c r="O264" s="401" t="s">
        <v>580</v>
      </c>
      <c r="P264" s="138">
        <v>22.6</v>
      </c>
      <c r="Q264" s="188" t="s">
        <v>241</v>
      </c>
      <c r="R264" s="188">
        <f>0.001*P264</f>
        <v>2.2600000000000002E-2</v>
      </c>
      <c r="S264" s="188"/>
      <c r="T264" s="188"/>
      <c r="U264" s="188"/>
    </row>
    <row r="265" spans="1:21">
      <c r="A265" s="188" t="s">
        <v>784</v>
      </c>
      <c r="B265" s="188">
        <f>R265</f>
        <v>5.3E-3</v>
      </c>
      <c r="C265" s="188" t="s">
        <v>37</v>
      </c>
      <c r="D265" s="408" t="s">
        <v>2</v>
      </c>
      <c r="E265" s="188" t="s">
        <v>29</v>
      </c>
      <c r="F265" s="37" t="s">
        <v>74</v>
      </c>
      <c r="G265" s="188" t="s">
        <v>33</v>
      </c>
      <c r="H265" s="188">
        <v>2</v>
      </c>
      <c r="I265" s="188">
        <f t="shared" si="21"/>
        <v>-5.2400484584240612</v>
      </c>
      <c r="J265" s="188">
        <v>0.20928449536456342</v>
      </c>
      <c r="K265" s="188" t="s">
        <v>31</v>
      </c>
      <c r="L265" s="188" t="s">
        <v>31</v>
      </c>
      <c r="M265" s="188" t="s">
        <v>31</v>
      </c>
      <c r="N265" s="188"/>
      <c r="O265" s="447" t="s">
        <v>580</v>
      </c>
      <c r="P265" s="142">
        <v>5.3</v>
      </c>
      <c r="Q265" s="188" t="s">
        <v>241</v>
      </c>
      <c r="R265" s="188">
        <f>0.001*P265</f>
        <v>5.3E-3</v>
      </c>
      <c r="S265" s="188"/>
      <c r="T265" s="188"/>
      <c r="U265" s="188"/>
    </row>
    <row r="266" spans="1:21" s="70" customFormat="1">
      <c r="A266" s="370" t="s">
        <v>5</v>
      </c>
      <c r="B266" s="371" t="s">
        <v>1127</v>
      </c>
      <c r="C266" s="353"/>
      <c r="D266" s="353"/>
      <c r="E266" s="353"/>
      <c r="F266" s="353"/>
      <c r="G266" s="353"/>
      <c r="H266" s="353"/>
      <c r="I266" s="353"/>
      <c r="J266" s="353"/>
      <c r="K266" s="353"/>
      <c r="L266" s="353"/>
      <c r="M266" s="353"/>
      <c r="N266" s="353"/>
      <c r="O266" s="353"/>
      <c r="P266" s="353"/>
      <c r="Q266" s="353"/>
      <c r="R266" s="353"/>
      <c r="S266" s="353"/>
      <c r="T266" s="353"/>
      <c r="U266" s="353"/>
    </row>
    <row r="267" spans="1:21">
      <c r="A267" s="346" t="s">
        <v>7</v>
      </c>
      <c r="B267" s="188" t="s">
        <v>786</v>
      </c>
      <c r="C267" s="345"/>
      <c r="D267" s="188"/>
      <c r="E267" s="188"/>
      <c r="F267" s="188"/>
      <c r="G267" s="188"/>
      <c r="H267" s="188"/>
      <c r="I267" s="188"/>
      <c r="J267" s="188"/>
      <c r="K267" s="188"/>
      <c r="L267" s="188"/>
      <c r="M267" s="188"/>
      <c r="N267" s="188"/>
      <c r="O267" s="188"/>
      <c r="P267" s="188"/>
      <c r="Q267" s="188"/>
      <c r="R267" s="188"/>
      <c r="S267" s="188"/>
      <c r="T267" s="188"/>
      <c r="U267" s="188"/>
    </row>
    <row r="268" spans="1:21">
      <c r="A268" s="424" t="s">
        <v>9</v>
      </c>
      <c r="B268" s="188" t="s">
        <v>1128</v>
      </c>
      <c r="C268" s="345"/>
      <c r="D268" s="188"/>
      <c r="E268" s="188"/>
      <c r="F268" s="188"/>
      <c r="G268" s="188"/>
      <c r="H268" s="188"/>
      <c r="I268" s="188"/>
      <c r="J268" s="188"/>
      <c r="K268" s="188"/>
      <c r="L268" s="188"/>
      <c r="M268" s="188"/>
      <c r="N268" s="188"/>
      <c r="O268" s="188"/>
      <c r="P268" s="188"/>
      <c r="Q268" s="188"/>
      <c r="R268" s="188"/>
      <c r="S268" s="188"/>
      <c r="T268" s="188"/>
      <c r="U268" s="188"/>
    </row>
    <row r="269" spans="1:21" ht="15.75" customHeight="1">
      <c r="A269" s="346" t="s">
        <v>11</v>
      </c>
      <c r="B269" s="347" t="s">
        <v>796</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46" t="s">
        <v>13</v>
      </c>
      <c r="B270" s="188" t="s">
        <v>14</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46" t="s">
        <v>15</v>
      </c>
      <c r="B271" s="415">
        <f>B276</f>
        <v>1.7000000000000001E-2</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46" t="s">
        <v>16</v>
      </c>
      <c r="B272" s="188" t="s">
        <v>17</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46" t="s">
        <v>18</v>
      </c>
      <c r="B273" s="188" t="s">
        <v>609</v>
      </c>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43" t="s">
        <v>19</v>
      </c>
      <c r="B274" s="188"/>
      <c r="C274" s="188"/>
      <c r="D274" s="188"/>
      <c r="E274" s="188"/>
      <c r="F274" s="188"/>
      <c r="G274" s="188"/>
      <c r="H274" s="188"/>
      <c r="I274" s="188"/>
      <c r="J274" s="188"/>
      <c r="K274" s="188"/>
      <c r="L274" s="188"/>
      <c r="M274" s="188"/>
      <c r="N274" s="188"/>
      <c r="O274" s="188"/>
      <c r="P274" s="188"/>
      <c r="Q274" s="188"/>
      <c r="R274" s="188"/>
      <c r="S274" s="188"/>
      <c r="T274" s="188"/>
      <c r="U274" s="188"/>
    </row>
    <row r="275" spans="1:21">
      <c r="A275" s="344" t="s">
        <v>20</v>
      </c>
      <c r="B275" s="344" t="s">
        <v>21</v>
      </c>
      <c r="C275" s="344" t="s">
        <v>18</v>
      </c>
      <c r="D275" s="344" t="s">
        <v>22</v>
      </c>
      <c r="E275" s="344" t="s">
        <v>7</v>
      </c>
      <c r="F275" s="344" t="s">
        <v>13</v>
      </c>
      <c r="G275" s="344" t="s">
        <v>16</v>
      </c>
      <c r="H275" s="344" t="s">
        <v>23</v>
      </c>
      <c r="I275" s="344" t="s">
        <v>24</v>
      </c>
      <c r="J275" s="344" t="s">
        <v>25</v>
      </c>
      <c r="K275" s="344" t="s">
        <v>26</v>
      </c>
      <c r="L275" s="344" t="s">
        <v>27</v>
      </c>
      <c r="M275" s="344" t="s">
        <v>28</v>
      </c>
      <c r="N275" s="344" t="s">
        <v>11</v>
      </c>
      <c r="O275" s="188"/>
      <c r="P275" s="188"/>
      <c r="Q275" s="188"/>
      <c r="R275" s="188"/>
      <c r="S275" s="188"/>
      <c r="T275" s="188"/>
      <c r="U275" s="188"/>
    </row>
    <row r="276" spans="1:21">
      <c r="A276" s="188" t="s">
        <v>1127</v>
      </c>
      <c r="B276" s="415">
        <f>P277</f>
        <v>1.7000000000000001E-2</v>
      </c>
      <c r="C276" s="188" t="s">
        <v>609</v>
      </c>
      <c r="D276" s="408" t="s">
        <v>2</v>
      </c>
      <c r="E276" s="188" t="s">
        <v>29</v>
      </c>
      <c r="F276" s="188" t="s">
        <v>14</v>
      </c>
      <c r="G276" s="188" t="s">
        <v>30</v>
      </c>
      <c r="H276" s="188">
        <v>1</v>
      </c>
      <c r="I276" s="188">
        <f t="shared" ref="I276:I277" si="22">B276</f>
        <v>1.7000000000000001E-2</v>
      </c>
      <c r="J276" s="188" t="s">
        <v>31</v>
      </c>
      <c r="K276" s="188" t="s">
        <v>31</v>
      </c>
      <c r="L276" s="188" t="s">
        <v>31</v>
      </c>
      <c r="M276" s="188" t="s">
        <v>31</v>
      </c>
      <c r="N276" s="188"/>
      <c r="O276" s="188"/>
      <c r="P276" s="188"/>
      <c r="Q276" s="188"/>
      <c r="R276" s="188"/>
      <c r="S276" s="188"/>
      <c r="T276" s="188"/>
      <c r="U276" s="188"/>
    </row>
    <row r="277" spans="1:21">
      <c r="A277" s="188" t="s">
        <v>1129</v>
      </c>
      <c r="B277" s="415">
        <f>P277</f>
        <v>1.7000000000000001E-2</v>
      </c>
      <c r="C277" s="188" t="s">
        <v>609</v>
      </c>
      <c r="D277" s="408" t="s">
        <v>2</v>
      </c>
      <c r="E277" s="188" t="s">
        <v>29</v>
      </c>
      <c r="F277" s="188" t="s">
        <v>14</v>
      </c>
      <c r="G277" s="188" t="s">
        <v>33</v>
      </c>
      <c r="H277" s="188">
        <v>1</v>
      </c>
      <c r="I277" s="188">
        <f t="shared" si="22"/>
        <v>1.7000000000000001E-2</v>
      </c>
      <c r="J277" s="188" t="s">
        <v>31</v>
      </c>
      <c r="K277" s="188" t="s">
        <v>31</v>
      </c>
      <c r="L277" s="188" t="s">
        <v>31</v>
      </c>
      <c r="M277" s="188" t="s">
        <v>31</v>
      </c>
      <c r="N277" s="188"/>
      <c r="O277" s="188"/>
      <c r="P277" s="470">
        <v>1.7000000000000001E-2</v>
      </c>
      <c r="Q277" s="188"/>
      <c r="R277" s="188"/>
      <c r="S277" s="188"/>
      <c r="T277" s="188"/>
      <c r="U277" s="188"/>
    </row>
    <row r="278" spans="1:21">
      <c r="A278" s="346" t="s">
        <v>269</v>
      </c>
      <c r="B278" s="350">
        <f>P278</f>
        <v>3.1799999999999997</v>
      </c>
      <c r="C278" s="188" t="s">
        <v>39</v>
      </c>
      <c r="D278" s="188" t="s">
        <v>40</v>
      </c>
      <c r="E278" s="188" t="s">
        <v>29</v>
      </c>
      <c r="F278" s="37" t="s">
        <v>35</v>
      </c>
      <c r="G278" s="188" t="s">
        <v>33</v>
      </c>
      <c r="H278" s="188">
        <v>2</v>
      </c>
      <c r="I278" s="188">
        <f t="shared" ref="I278:I279" si="23">LN(B278)</f>
        <v>1.1568811967920853</v>
      </c>
      <c r="J278" s="188">
        <v>0.20928449536456342</v>
      </c>
      <c r="K278" s="188" t="s">
        <v>31</v>
      </c>
      <c r="L278" s="188" t="s">
        <v>31</v>
      </c>
      <c r="M278" s="188" t="s">
        <v>31</v>
      </c>
      <c r="N278" s="188"/>
      <c r="O278" s="401" t="s">
        <v>248</v>
      </c>
      <c r="P278" s="138">
        <f>0.99+2.19</f>
        <v>3.1799999999999997</v>
      </c>
      <c r="Q278" s="188"/>
      <c r="R278" s="188"/>
      <c r="S278" s="188"/>
      <c r="T278" s="188"/>
      <c r="U278" s="188"/>
    </row>
    <row r="279" spans="1:21">
      <c r="A279" s="346" t="s">
        <v>799</v>
      </c>
      <c r="B279" s="350">
        <f>R279</f>
        <v>6.4000000000000003E-3</v>
      </c>
      <c r="C279" s="188" t="s">
        <v>37</v>
      </c>
      <c r="D279" s="188" t="s">
        <v>40</v>
      </c>
      <c r="E279" s="188" t="s">
        <v>29</v>
      </c>
      <c r="F279" s="37" t="s">
        <v>74</v>
      </c>
      <c r="G279" s="188" t="s">
        <v>33</v>
      </c>
      <c r="H279" s="188">
        <v>2</v>
      </c>
      <c r="I279" s="188">
        <f t="shared" si="23"/>
        <v>-5.0514572886165112</v>
      </c>
      <c r="J279" s="188">
        <v>0.20928449536456342</v>
      </c>
      <c r="K279" s="188" t="s">
        <v>31</v>
      </c>
      <c r="L279" s="188" t="s">
        <v>31</v>
      </c>
      <c r="M279" s="188" t="s">
        <v>31</v>
      </c>
      <c r="N279" s="188"/>
      <c r="O279" s="401" t="s">
        <v>580</v>
      </c>
      <c r="P279" s="138">
        <v>6.4</v>
      </c>
      <c r="Q279" s="188" t="s">
        <v>241</v>
      </c>
      <c r="R279" s="188">
        <f>P279*0.001</f>
        <v>6.4000000000000003E-3</v>
      </c>
      <c r="S279" s="188"/>
      <c r="T279" s="188"/>
      <c r="U279" s="188"/>
    </row>
    <row r="280" spans="1:21">
      <c r="A280" s="88" t="s">
        <v>545</v>
      </c>
      <c r="B280" s="350">
        <f>R280</f>
        <v>7.7999999999999996E-3</v>
      </c>
      <c r="C280" s="188" t="s">
        <v>37</v>
      </c>
      <c r="D280" s="188" t="s">
        <v>40</v>
      </c>
      <c r="E280" s="188" t="s">
        <v>29</v>
      </c>
      <c r="F280" s="188" t="s">
        <v>35</v>
      </c>
      <c r="G280" s="188" t="s">
        <v>33</v>
      </c>
      <c r="H280" s="188">
        <v>2</v>
      </c>
      <c r="I280" s="188">
        <f>LN(B280)</f>
        <v>-4.853631545286591</v>
      </c>
      <c r="J280" s="188">
        <v>0.20928449536456342</v>
      </c>
      <c r="K280" s="188" t="s">
        <v>31</v>
      </c>
      <c r="L280" s="188" t="s">
        <v>31</v>
      </c>
      <c r="M280" s="188" t="s">
        <v>31</v>
      </c>
      <c r="N280" s="188"/>
      <c r="O280" s="401" t="s">
        <v>580</v>
      </c>
      <c r="P280" s="138">
        <v>7.8</v>
      </c>
      <c r="Q280" s="188" t="s">
        <v>241</v>
      </c>
      <c r="R280" s="188">
        <f>P280*0.001</f>
        <v>7.7999999999999996E-3</v>
      </c>
      <c r="S280" s="188"/>
      <c r="T280" s="188"/>
      <c r="U280" s="188"/>
    </row>
    <row r="281" spans="1:21">
      <c r="A281" s="188" t="s">
        <v>784</v>
      </c>
      <c r="B281" s="350">
        <f>R281</f>
        <v>7.7999999999999996E-3</v>
      </c>
      <c r="C281" s="188" t="s">
        <v>37</v>
      </c>
      <c r="D281" s="408" t="s">
        <v>2</v>
      </c>
      <c r="E281" s="188" t="s">
        <v>29</v>
      </c>
      <c r="F281" s="37" t="s">
        <v>74</v>
      </c>
      <c r="G281" s="188" t="s">
        <v>33</v>
      </c>
      <c r="H281" s="188">
        <v>2</v>
      </c>
      <c r="I281" s="188">
        <f t="shared" ref="I281" si="24">LN(B281)</f>
        <v>-4.853631545286591</v>
      </c>
      <c r="J281" s="188">
        <v>0.20928449536456342</v>
      </c>
      <c r="K281" s="188" t="s">
        <v>31</v>
      </c>
      <c r="L281" s="188" t="s">
        <v>31</v>
      </c>
      <c r="M281" s="188" t="s">
        <v>31</v>
      </c>
      <c r="N281" s="188"/>
      <c r="O281" s="447" t="s">
        <v>580</v>
      </c>
      <c r="P281" s="142">
        <v>7.8</v>
      </c>
      <c r="Q281" s="188" t="s">
        <v>241</v>
      </c>
      <c r="R281" s="188">
        <f>0.001*P281</f>
        <v>7.7999999999999996E-3</v>
      </c>
      <c r="S281" s="188"/>
      <c r="T281" s="188"/>
      <c r="U281" s="188"/>
    </row>
    <row r="282" spans="1:21" s="70" customFormat="1">
      <c r="A282" s="370" t="s">
        <v>5</v>
      </c>
      <c r="B282" s="371" t="s">
        <v>1129</v>
      </c>
      <c r="C282" s="353"/>
      <c r="D282" s="353"/>
      <c r="E282" s="353"/>
      <c r="F282" s="353"/>
      <c r="G282" s="353"/>
      <c r="H282" s="353"/>
      <c r="I282" s="353"/>
      <c r="J282" s="353"/>
      <c r="K282" s="353"/>
      <c r="L282" s="353"/>
      <c r="M282" s="353"/>
      <c r="N282" s="353"/>
      <c r="O282" s="353"/>
      <c r="P282" s="437"/>
      <c r="Q282" s="353"/>
      <c r="R282" s="353"/>
      <c r="S282" s="353"/>
      <c r="T282" s="353"/>
      <c r="U282" s="353"/>
    </row>
    <row r="283" spans="1:21">
      <c r="A283" s="346" t="s">
        <v>7</v>
      </c>
      <c r="B283" s="188" t="s">
        <v>786</v>
      </c>
      <c r="C283" s="345"/>
      <c r="D283" s="188"/>
      <c r="E283" s="188"/>
      <c r="F283" s="188"/>
      <c r="G283" s="188"/>
      <c r="H283" s="188"/>
      <c r="I283" s="188"/>
      <c r="J283" s="188"/>
      <c r="K283" s="188"/>
      <c r="L283" s="188"/>
      <c r="M283" s="188"/>
      <c r="N283" s="188"/>
      <c r="O283" s="188"/>
      <c r="P283" s="188"/>
      <c r="Q283" s="188"/>
      <c r="R283" s="188"/>
      <c r="S283" s="188"/>
      <c r="T283" s="188"/>
      <c r="U283" s="188"/>
    </row>
    <row r="284" spans="1:21">
      <c r="A284" s="424" t="s">
        <v>9</v>
      </c>
      <c r="B284" s="188" t="s">
        <v>1130</v>
      </c>
      <c r="C284" s="345"/>
      <c r="D284" s="188"/>
      <c r="E284" s="188"/>
      <c r="F284" s="188"/>
      <c r="G284" s="188"/>
      <c r="H284" s="188"/>
      <c r="I284" s="188"/>
      <c r="J284" s="188"/>
      <c r="K284" s="188"/>
      <c r="L284" s="188"/>
      <c r="M284" s="188"/>
      <c r="N284" s="188"/>
      <c r="O284" s="188"/>
      <c r="P284" s="188"/>
      <c r="Q284" s="188"/>
      <c r="R284" s="188"/>
      <c r="S284" s="188"/>
      <c r="T284" s="188"/>
      <c r="U284" s="188"/>
    </row>
    <row r="285" spans="1:21" ht="15.75" customHeight="1">
      <c r="A285" s="346" t="s">
        <v>11</v>
      </c>
      <c r="B285" s="347" t="s">
        <v>796</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46" t="s">
        <v>13</v>
      </c>
      <c r="B286" s="188" t="s">
        <v>14</v>
      </c>
      <c r="C286" s="188"/>
      <c r="D286" s="188"/>
      <c r="E286" s="188"/>
      <c r="F286" s="188"/>
      <c r="G286" s="188"/>
      <c r="H286" s="188"/>
      <c r="I286" s="188"/>
      <c r="J286" s="188"/>
      <c r="K286" s="188"/>
      <c r="L286" s="188"/>
      <c r="M286" s="188"/>
      <c r="N286" s="188"/>
      <c r="O286" s="188"/>
      <c r="P286" s="188"/>
      <c r="Q286" s="188"/>
      <c r="R286" s="188"/>
      <c r="S286" s="188"/>
      <c r="T286" s="188"/>
      <c r="U286" s="188"/>
    </row>
    <row r="287" spans="1:21">
      <c r="A287" s="346" t="s">
        <v>15</v>
      </c>
      <c r="B287" s="415">
        <f>B292</f>
        <v>0.03</v>
      </c>
      <c r="C287" s="188"/>
      <c r="D287" s="188"/>
      <c r="E287" s="188"/>
      <c r="F287" s="188"/>
      <c r="G287" s="188"/>
      <c r="H287" s="188"/>
      <c r="I287" s="188"/>
      <c r="J287" s="188"/>
      <c r="K287" s="188"/>
      <c r="L287" s="188"/>
      <c r="M287" s="188"/>
      <c r="N287" s="188"/>
      <c r="O287" s="188"/>
      <c r="P287" s="188"/>
      <c r="Q287" s="188"/>
      <c r="R287" s="188"/>
      <c r="S287" s="188"/>
      <c r="T287" s="188"/>
      <c r="U287" s="188"/>
    </row>
    <row r="288" spans="1:21">
      <c r="A288" s="346" t="s">
        <v>16</v>
      </c>
      <c r="B288" s="188" t="s">
        <v>17</v>
      </c>
      <c r="C288" s="188"/>
      <c r="D288" s="188"/>
      <c r="E288" s="188"/>
      <c r="F288" s="188"/>
      <c r="G288" s="188"/>
      <c r="H288" s="188"/>
      <c r="I288" s="188"/>
      <c r="J288" s="188"/>
      <c r="K288" s="188"/>
      <c r="L288" s="188"/>
      <c r="M288" s="188"/>
      <c r="N288" s="188"/>
      <c r="O288" s="188"/>
      <c r="P288" s="188"/>
      <c r="Q288" s="188"/>
      <c r="R288" s="344" t="s">
        <v>885</v>
      </c>
      <c r="S288" s="188"/>
      <c r="T288" s="188"/>
      <c r="U288" s="188"/>
    </row>
    <row r="289" spans="1:21">
      <c r="A289" s="346" t="s">
        <v>18</v>
      </c>
      <c r="B289" s="188" t="s">
        <v>609</v>
      </c>
      <c r="C289" s="188"/>
      <c r="D289" s="188"/>
      <c r="E289" s="188"/>
      <c r="F289" s="188"/>
      <c r="G289" s="188"/>
      <c r="H289" s="188"/>
      <c r="I289" s="188"/>
      <c r="J289" s="188"/>
      <c r="K289" s="188"/>
      <c r="L289" s="188"/>
      <c r="M289" s="188"/>
      <c r="N289" s="188"/>
      <c r="O289" s="188"/>
      <c r="P289" s="188"/>
      <c r="Q289" s="188"/>
      <c r="R289" s="188" t="s">
        <v>886</v>
      </c>
      <c r="S289" s="188">
        <v>8900</v>
      </c>
      <c r="T289" s="188" t="s">
        <v>887</v>
      </c>
      <c r="U289" s="188"/>
    </row>
    <row r="290" spans="1:21">
      <c r="A290" s="343" t="s">
        <v>19</v>
      </c>
      <c r="B290" s="188"/>
      <c r="C290" s="188"/>
      <c r="D290" s="188"/>
      <c r="E290" s="188"/>
      <c r="F290" s="188"/>
      <c r="G290" s="188"/>
      <c r="H290" s="188"/>
      <c r="I290" s="188"/>
      <c r="J290" s="188"/>
      <c r="K290" s="188"/>
      <c r="L290" s="188"/>
      <c r="M290" s="188"/>
      <c r="N290" s="188"/>
      <c r="O290" s="188"/>
      <c r="P290" s="188"/>
      <c r="Q290" s="188"/>
      <c r="R290" s="188" t="s">
        <v>888</v>
      </c>
      <c r="S290" s="188">
        <f>5*10^-6</f>
        <v>4.9999999999999996E-6</v>
      </c>
      <c r="T290" s="188" t="s">
        <v>889</v>
      </c>
      <c r="U290" s="188"/>
    </row>
    <row r="291" spans="1:21">
      <c r="A291" s="344" t="s">
        <v>20</v>
      </c>
      <c r="B291" s="344" t="s">
        <v>21</v>
      </c>
      <c r="C291" s="344" t="s">
        <v>18</v>
      </c>
      <c r="D291" s="344" t="s">
        <v>22</v>
      </c>
      <c r="E291" s="344" t="s">
        <v>7</v>
      </c>
      <c r="F291" s="344" t="s">
        <v>13</v>
      </c>
      <c r="G291" s="344" t="s">
        <v>16</v>
      </c>
      <c r="H291" s="344" t="s">
        <v>23</v>
      </c>
      <c r="I291" s="344" t="s">
        <v>24</v>
      </c>
      <c r="J291" s="344" t="s">
        <v>25</v>
      </c>
      <c r="K291" s="344" t="s">
        <v>26</v>
      </c>
      <c r="L291" s="344" t="s">
        <v>27</v>
      </c>
      <c r="M291" s="344" t="s">
        <v>28</v>
      </c>
      <c r="N291" s="344" t="s">
        <v>11</v>
      </c>
      <c r="O291" s="188"/>
      <c r="P291" s="188"/>
      <c r="Q291" s="188"/>
      <c r="R291" s="427" t="s">
        <v>890</v>
      </c>
      <c r="S291" s="428">
        <f>S290*S289</f>
        <v>4.4499999999999998E-2</v>
      </c>
      <c r="T291" s="429" t="s">
        <v>891</v>
      </c>
      <c r="U291" s="188"/>
    </row>
    <row r="292" spans="1:21">
      <c r="A292" s="188" t="s">
        <v>1129</v>
      </c>
      <c r="B292" s="415">
        <v>0.03</v>
      </c>
      <c r="C292" s="188" t="s">
        <v>609</v>
      </c>
      <c r="D292" s="408" t="s">
        <v>2</v>
      </c>
      <c r="E292" s="188" t="s">
        <v>29</v>
      </c>
      <c r="F292" s="188" t="s">
        <v>14</v>
      </c>
      <c r="G292" s="188" t="s">
        <v>30</v>
      </c>
      <c r="H292" s="188">
        <v>1</v>
      </c>
      <c r="I292" s="188">
        <f t="shared" ref="I292:I294" si="25">B292</f>
        <v>0.03</v>
      </c>
      <c r="J292" s="188" t="s">
        <v>31</v>
      </c>
      <c r="K292" s="188" t="s">
        <v>31</v>
      </c>
      <c r="L292" s="188" t="s">
        <v>31</v>
      </c>
      <c r="M292" s="188" t="s">
        <v>31</v>
      </c>
      <c r="N292" s="188"/>
      <c r="O292" s="401" t="s">
        <v>892</v>
      </c>
      <c r="P292" s="414">
        <f>B292*100</f>
        <v>3</v>
      </c>
      <c r="Q292" s="188"/>
      <c r="R292" s="188"/>
      <c r="S292" s="188"/>
      <c r="T292" s="188"/>
      <c r="U292" s="188"/>
    </row>
    <row r="293" spans="1:21">
      <c r="A293" s="188" t="s">
        <v>1131</v>
      </c>
      <c r="B293" s="415">
        <v>0.03</v>
      </c>
      <c r="C293" s="188" t="s">
        <v>609</v>
      </c>
      <c r="D293" s="408" t="s">
        <v>2</v>
      </c>
      <c r="E293" s="188" t="s">
        <v>29</v>
      </c>
      <c r="F293" s="188" t="s">
        <v>14</v>
      </c>
      <c r="G293" s="188" t="s">
        <v>33</v>
      </c>
      <c r="H293" s="188">
        <v>1</v>
      </c>
      <c r="I293" s="188">
        <f t="shared" si="25"/>
        <v>0.03</v>
      </c>
      <c r="J293" s="188">
        <v>7.2284161474004766E-2</v>
      </c>
      <c r="K293" s="188" t="s">
        <v>31</v>
      </c>
      <c r="L293" s="188" t="s">
        <v>31</v>
      </c>
      <c r="M293" s="188" t="s">
        <v>31</v>
      </c>
      <c r="N293" s="188"/>
      <c r="O293" s="401" t="s">
        <v>892</v>
      </c>
      <c r="P293" s="414">
        <f>B293*100</f>
        <v>3</v>
      </c>
      <c r="Q293" s="188"/>
      <c r="R293" s="188" t="s">
        <v>554</v>
      </c>
      <c r="S293" s="188"/>
      <c r="T293" s="188"/>
      <c r="U293" s="410"/>
    </row>
    <row r="294" spans="1:21">
      <c r="A294" s="192" t="s">
        <v>1074</v>
      </c>
      <c r="B294" s="420">
        <f>T294</f>
        <v>3.7824999999999998E-2</v>
      </c>
      <c r="C294" s="188" t="s">
        <v>37</v>
      </c>
      <c r="D294" s="408" t="s">
        <v>2</v>
      </c>
      <c r="E294" s="188" t="s">
        <v>29</v>
      </c>
      <c r="F294" s="37" t="s">
        <v>14</v>
      </c>
      <c r="G294" s="188" t="s">
        <v>33</v>
      </c>
      <c r="H294" s="188">
        <v>1</v>
      </c>
      <c r="I294" s="188">
        <f t="shared" si="25"/>
        <v>3.7824999999999998E-2</v>
      </c>
      <c r="J294" s="188">
        <v>7.2284161474004766E-2</v>
      </c>
      <c r="K294" s="188" t="s">
        <v>31</v>
      </c>
      <c r="L294" s="188" t="s">
        <v>31</v>
      </c>
      <c r="M294" s="188" t="s">
        <v>31</v>
      </c>
      <c r="N294" s="188"/>
      <c r="O294" s="432"/>
      <c r="P294" s="433"/>
      <c r="Q294" s="188"/>
      <c r="R294" s="430">
        <v>0.85</v>
      </c>
      <c r="S294" s="431" t="s">
        <v>610</v>
      </c>
      <c r="T294" s="430">
        <f>R294*S291</f>
        <v>3.7824999999999998E-2</v>
      </c>
      <c r="U294" s="431" t="s">
        <v>241</v>
      </c>
    </row>
    <row r="295" spans="1:21">
      <c r="A295" s="346" t="s">
        <v>799</v>
      </c>
      <c r="B295" s="188">
        <f>P295</f>
        <v>6.8</v>
      </c>
      <c r="C295" s="188" t="s">
        <v>37</v>
      </c>
      <c r="D295" s="188" t="s">
        <v>40</v>
      </c>
      <c r="E295" s="188" t="s">
        <v>29</v>
      </c>
      <c r="F295" s="37" t="s">
        <v>74</v>
      </c>
      <c r="G295" s="188" t="s">
        <v>33</v>
      </c>
      <c r="H295" s="188">
        <v>2</v>
      </c>
      <c r="I295" s="188">
        <f t="shared" ref="I295" si="26">LN(B295)</f>
        <v>1.9169226121820611</v>
      </c>
      <c r="J295" s="188">
        <v>7.2284161474004766E-2</v>
      </c>
      <c r="K295" s="188" t="s">
        <v>31</v>
      </c>
      <c r="L295" s="188" t="s">
        <v>31</v>
      </c>
      <c r="M295" s="188" t="s">
        <v>31</v>
      </c>
      <c r="N295" s="188"/>
      <c r="O295" s="401" t="s">
        <v>241</v>
      </c>
      <c r="P295" s="138">
        <v>6.8</v>
      </c>
      <c r="Q295" s="188"/>
      <c r="R295" s="188"/>
      <c r="S295" s="188"/>
      <c r="T295" s="188"/>
      <c r="U295" s="188"/>
    </row>
    <row r="296" spans="1:21">
      <c r="A296" s="88" t="s">
        <v>874</v>
      </c>
      <c r="B296" s="350">
        <f>R296</f>
        <v>2.9999999999999997E-4</v>
      </c>
      <c r="C296" s="188" t="s">
        <v>37</v>
      </c>
      <c r="D296" s="188" t="s">
        <v>40</v>
      </c>
      <c r="E296" s="188" t="s">
        <v>29</v>
      </c>
      <c r="F296" s="37" t="s">
        <v>59</v>
      </c>
      <c r="G296" s="188" t="s">
        <v>33</v>
      </c>
      <c r="H296" s="188">
        <v>2</v>
      </c>
      <c r="I296" s="188">
        <f>LN(B296)</f>
        <v>-8.1117280833080727</v>
      </c>
      <c r="J296" s="188">
        <v>7.2284161474004766E-2</v>
      </c>
      <c r="K296" s="188" t="s">
        <v>31</v>
      </c>
      <c r="L296" s="188" t="s">
        <v>31</v>
      </c>
      <c r="M296" s="188" t="s">
        <v>31</v>
      </c>
      <c r="N296" s="188"/>
      <c r="O296" s="416" t="s">
        <v>538</v>
      </c>
      <c r="P296" s="141">
        <v>0.3</v>
      </c>
      <c r="Q296" s="401" t="s">
        <v>241</v>
      </c>
      <c r="R296" s="188">
        <f>P296*0.001</f>
        <v>2.9999999999999997E-4</v>
      </c>
      <c r="S296" s="188"/>
      <c r="T296" s="188"/>
      <c r="U296" s="188"/>
    </row>
    <row r="297" spans="1:21">
      <c r="A297" s="88" t="s">
        <v>76</v>
      </c>
      <c r="B297" s="188">
        <f>R297</f>
        <v>6.7999999999999996E-3</v>
      </c>
      <c r="C297" s="188" t="s">
        <v>42</v>
      </c>
      <c r="D297" s="188" t="s">
        <v>40</v>
      </c>
      <c r="E297" s="188" t="s">
        <v>29</v>
      </c>
      <c r="F297" s="37" t="s">
        <v>74</v>
      </c>
      <c r="G297" s="188" t="s">
        <v>33</v>
      </c>
      <c r="H297" s="188">
        <v>2</v>
      </c>
      <c r="I297" s="188">
        <f t="shared" ref="I297" si="27">LN(B297)</f>
        <v>-4.9908326668000758</v>
      </c>
      <c r="J297" s="188">
        <v>7.2284161474004766E-2</v>
      </c>
      <c r="K297" s="188" t="s">
        <v>31</v>
      </c>
      <c r="L297" s="188" t="s">
        <v>31</v>
      </c>
      <c r="M297" s="188" t="s">
        <v>31</v>
      </c>
      <c r="N297" s="188"/>
      <c r="O297" s="418" t="s">
        <v>863</v>
      </c>
      <c r="P297" s="142">
        <v>6.8</v>
      </c>
      <c r="Q297" s="188" t="s">
        <v>251</v>
      </c>
      <c r="R297" s="188">
        <f>P297*0.001</f>
        <v>6.7999999999999996E-3</v>
      </c>
      <c r="S297" s="188"/>
      <c r="T297" s="188"/>
      <c r="U297" s="188"/>
    </row>
    <row r="298" spans="1:21" s="70" customFormat="1">
      <c r="A298" s="370" t="s">
        <v>5</v>
      </c>
      <c r="B298" s="371" t="s">
        <v>1131</v>
      </c>
      <c r="C298" s="353"/>
      <c r="D298" s="353"/>
      <c r="E298" s="353"/>
      <c r="F298" s="353"/>
      <c r="G298" s="353"/>
      <c r="H298" s="353"/>
      <c r="I298" s="353"/>
      <c r="J298" s="353"/>
      <c r="K298" s="353"/>
      <c r="L298" s="353"/>
      <c r="M298" s="353"/>
      <c r="N298" s="353"/>
      <c r="O298" s="353"/>
      <c r="P298" s="353"/>
      <c r="Q298" s="353"/>
      <c r="R298" s="353"/>
      <c r="S298" s="353"/>
      <c r="T298" s="353"/>
      <c r="U298" s="353"/>
    </row>
    <row r="299" spans="1:21">
      <c r="A299" s="346" t="s">
        <v>7</v>
      </c>
      <c r="B299" s="188" t="s">
        <v>786</v>
      </c>
      <c r="C299" s="345"/>
      <c r="D299" s="188"/>
      <c r="E299" s="188"/>
      <c r="F299" s="188"/>
      <c r="G299" s="188"/>
      <c r="H299" s="188"/>
      <c r="I299" s="188"/>
      <c r="J299" s="188"/>
      <c r="K299" s="188"/>
      <c r="L299" s="188"/>
      <c r="M299" s="188"/>
      <c r="N299" s="188"/>
      <c r="O299" s="188"/>
      <c r="P299" s="188"/>
      <c r="Q299" s="188"/>
      <c r="R299" s="188"/>
      <c r="S299" s="188"/>
      <c r="T299" s="188"/>
      <c r="U299" s="188"/>
    </row>
    <row r="300" spans="1:21">
      <c r="A300" s="424" t="s">
        <v>9</v>
      </c>
      <c r="B300" s="188" t="s">
        <v>1132</v>
      </c>
      <c r="C300" s="345"/>
      <c r="D300" s="188"/>
      <c r="E300" s="188"/>
      <c r="F300" s="188"/>
      <c r="G300" s="188"/>
      <c r="H300" s="188"/>
      <c r="I300" s="188"/>
      <c r="J300" s="188"/>
      <c r="K300" s="188"/>
      <c r="L300" s="188"/>
      <c r="M300" s="188"/>
      <c r="N300" s="188"/>
      <c r="O300" s="188"/>
      <c r="P300" s="188"/>
      <c r="Q300" s="188"/>
      <c r="R300" s="188"/>
      <c r="S300" s="188"/>
      <c r="T300" s="188"/>
      <c r="U300" s="188"/>
    </row>
    <row r="301" spans="1:21" ht="15.75" customHeight="1">
      <c r="A301" s="346" t="s">
        <v>11</v>
      </c>
      <c r="B301" s="347" t="s">
        <v>796</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46" t="s">
        <v>13</v>
      </c>
      <c r="B302" s="188" t="s">
        <v>14</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46" t="s">
        <v>15</v>
      </c>
      <c r="B303" s="415">
        <f>B308</f>
        <v>1.7000000000000001E-2</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46" t="s">
        <v>16</v>
      </c>
      <c r="B304" s="188" t="s">
        <v>17</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46" t="s">
        <v>18</v>
      </c>
      <c r="B305" s="188" t="s">
        <v>609</v>
      </c>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43" t="s">
        <v>19</v>
      </c>
      <c r="B306" s="188"/>
      <c r="C306" s="188"/>
      <c r="D306" s="188"/>
      <c r="E306" s="188"/>
      <c r="F306" s="188"/>
      <c r="G306" s="188"/>
      <c r="H306" s="188"/>
      <c r="I306" s="188"/>
      <c r="J306" s="188"/>
      <c r="K306" s="188"/>
      <c r="L306" s="188"/>
      <c r="M306" s="188"/>
      <c r="N306" s="188"/>
      <c r="O306" s="188"/>
      <c r="P306" s="188"/>
      <c r="Q306" s="188"/>
      <c r="R306" s="188"/>
      <c r="S306" s="188"/>
      <c r="T306" s="188"/>
      <c r="U306" s="188"/>
    </row>
    <row r="307" spans="1:21">
      <c r="A307" s="344" t="s">
        <v>20</v>
      </c>
      <c r="B307" s="344" t="s">
        <v>21</v>
      </c>
      <c r="C307" s="344" t="s">
        <v>18</v>
      </c>
      <c r="D307" s="344" t="s">
        <v>22</v>
      </c>
      <c r="E307" s="344" t="s">
        <v>7</v>
      </c>
      <c r="F307" s="344" t="s">
        <v>13</v>
      </c>
      <c r="G307" s="344" t="s">
        <v>16</v>
      </c>
      <c r="H307" s="344" t="s">
        <v>23</v>
      </c>
      <c r="I307" s="344" t="s">
        <v>24</v>
      </c>
      <c r="J307" s="344" t="s">
        <v>25</v>
      </c>
      <c r="K307" s="344" t="s">
        <v>26</v>
      </c>
      <c r="L307" s="344" t="s">
        <v>27</v>
      </c>
      <c r="M307" s="344" t="s">
        <v>28</v>
      </c>
      <c r="N307" s="344" t="s">
        <v>11</v>
      </c>
      <c r="O307" s="188"/>
      <c r="P307" s="188"/>
      <c r="Q307" s="188"/>
      <c r="R307" s="188"/>
      <c r="S307" s="188"/>
      <c r="T307" s="415"/>
      <c r="U307" s="188"/>
    </row>
    <row r="308" spans="1:21">
      <c r="A308" s="188" t="s">
        <v>1131</v>
      </c>
      <c r="B308" s="415">
        <f t="shared" ref="B308:B318" si="28">P308</f>
        <v>1.7000000000000001E-2</v>
      </c>
      <c r="C308" s="188" t="s">
        <v>609</v>
      </c>
      <c r="D308" s="408" t="s">
        <v>2</v>
      </c>
      <c r="E308" s="188" t="s">
        <v>29</v>
      </c>
      <c r="F308" s="188" t="s">
        <v>14</v>
      </c>
      <c r="G308" s="188" t="s">
        <v>30</v>
      </c>
      <c r="H308" s="188">
        <v>1</v>
      </c>
      <c r="I308" s="188">
        <f t="shared" ref="I308:I309" si="29">B308</f>
        <v>1.7000000000000001E-2</v>
      </c>
      <c r="J308" s="188" t="s">
        <v>31</v>
      </c>
      <c r="K308" s="188" t="s">
        <v>31</v>
      </c>
      <c r="L308" s="188" t="s">
        <v>31</v>
      </c>
      <c r="M308" s="188" t="s">
        <v>31</v>
      </c>
      <c r="N308" s="188"/>
      <c r="O308" s="188"/>
      <c r="P308" s="469">
        <v>1.7000000000000001E-2</v>
      </c>
      <c r="Q308" s="188"/>
      <c r="R308" s="188"/>
      <c r="S308" s="188"/>
      <c r="T308" s="188"/>
      <c r="U308" s="188"/>
    </row>
    <row r="309" spans="1:21">
      <c r="A309" s="188" t="s">
        <v>1133</v>
      </c>
      <c r="B309" s="415">
        <f t="shared" si="28"/>
        <v>1.7000000000000001E-2</v>
      </c>
      <c r="C309" s="188" t="s">
        <v>609</v>
      </c>
      <c r="D309" s="408" t="s">
        <v>2</v>
      </c>
      <c r="E309" s="188" t="s">
        <v>29</v>
      </c>
      <c r="F309" s="188" t="s">
        <v>14</v>
      </c>
      <c r="G309" s="188" t="s">
        <v>33</v>
      </c>
      <c r="H309" s="188">
        <v>1</v>
      </c>
      <c r="I309" s="188">
        <f t="shared" si="29"/>
        <v>1.7000000000000001E-2</v>
      </c>
      <c r="J309" s="188" t="s">
        <v>31</v>
      </c>
      <c r="K309" s="188" t="s">
        <v>31</v>
      </c>
      <c r="L309" s="188" t="s">
        <v>31</v>
      </c>
      <c r="M309" s="188" t="s">
        <v>31</v>
      </c>
      <c r="N309" s="188"/>
      <c r="O309" s="188"/>
      <c r="P309" s="469">
        <v>1.7000000000000001E-2</v>
      </c>
      <c r="Q309" s="188"/>
      <c r="R309" s="188"/>
      <c r="S309" s="188"/>
      <c r="T309" s="188"/>
      <c r="U309" s="188"/>
    </row>
    <row r="310" spans="1:21">
      <c r="A310" s="346" t="s">
        <v>269</v>
      </c>
      <c r="B310" s="350">
        <f t="shared" si="28"/>
        <v>0.22</v>
      </c>
      <c r="C310" s="188" t="s">
        <v>39</v>
      </c>
      <c r="D310" s="188" t="s">
        <v>40</v>
      </c>
      <c r="E310" s="188" t="s">
        <v>29</v>
      </c>
      <c r="F310" s="37" t="s">
        <v>35</v>
      </c>
      <c r="G310" s="188" t="s">
        <v>33</v>
      </c>
      <c r="H310" s="188">
        <v>2</v>
      </c>
      <c r="I310" s="188">
        <f t="shared" ref="I310" si="30">LN(B310)</f>
        <v>-1.5141277326297755</v>
      </c>
      <c r="J310" s="188">
        <v>0.22500000000000006</v>
      </c>
      <c r="K310" s="188" t="s">
        <v>31</v>
      </c>
      <c r="L310" s="188" t="s">
        <v>31</v>
      </c>
      <c r="M310" s="188" t="s">
        <v>31</v>
      </c>
      <c r="N310" s="188"/>
      <c r="O310" s="401" t="s">
        <v>248</v>
      </c>
      <c r="P310" s="414">
        <v>0.22</v>
      </c>
      <c r="Q310" s="188"/>
      <c r="R310" s="188"/>
      <c r="S310" s="188"/>
      <c r="T310" s="188"/>
      <c r="U310" s="188"/>
    </row>
    <row r="311" spans="1:21">
      <c r="A311" s="88" t="s">
        <v>680</v>
      </c>
      <c r="B311" s="415">
        <f t="shared" si="28"/>
        <v>9.9000000000000008E-3</v>
      </c>
      <c r="C311" s="188" t="s">
        <v>37</v>
      </c>
      <c r="D311" s="188" t="s">
        <v>40</v>
      </c>
      <c r="E311" s="188" t="s">
        <v>29</v>
      </c>
      <c r="F311" s="188" t="s">
        <v>35</v>
      </c>
      <c r="G311" s="188" t="s">
        <v>33</v>
      </c>
      <c r="H311" s="188">
        <v>2</v>
      </c>
      <c r="I311" s="188">
        <f>LN(B311)</f>
        <v>-4.6152205218415929</v>
      </c>
      <c r="J311" s="188">
        <v>0.22500000000000006</v>
      </c>
      <c r="K311" s="188" t="s">
        <v>31</v>
      </c>
      <c r="L311" s="188" t="s">
        <v>31</v>
      </c>
      <c r="M311" s="188" t="s">
        <v>31</v>
      </c>
      <c r="N311" s="188"/>
      <c r="O311" s="401" t="s">
        <v>241</v>
      </c>
      <c r="P311" s="452">
        <v>9.9000000000000008E-3</v>
      </c>
      <c r="Q311" s="188"/>
      <c r="R311" s="188"/>
      <c r="S311" s="188"/>
      <c r="T311" s="188"/>
      <c r="U311" s="188"/>
    </row>
    <row r="312" spans="1:21">
      <c r="A312" s="188" t="s">
        <v>957</v>
      </c>
      <c r="B312" s="415">
        <f t="shared" si="28"/>
        <v>2.1499999999999998E-2</v>
      </c>
      <c r="C312" s="188" t="s">
        <v>37</v>
      </c>
      <c r="D312" s="188" t="s">
        <v>40</v>
      </c>
      <c r="E312" s="188" t="s">
        <v>29</v>
      </c>
      <c r="F312" s="188" t="s">
        <v>59</v>
      </c>
      <c r="G312" s="188" t="s">
        <v>33</v>
      </c>
      <c r="H312" s="188">
        <v>2</v>
      </c>
      <c r="I312" s="188">
        <f t="shared" ref="I312:I318" si="31">LN(B312)</f>
        <v>-3.8397023438485198</v>
      </c>
      <c r="J312" s="188">
        <v>0.22500000000000006</v>
      </c>
      <c r="K312" s="188" t="s">
        <v>31</v>
      </c>
      <c r="L312" s="188" t="s">
        <v>31</v>
      </c>
      <c r="M312" s="188" t="s">
        <v>31</v>
      </c>
      <c r="N312" s="188"/>
      <c r="O312" s="401" t="s">
        <v>241</v>
      </c>
      <c r="P312" s="452">
        <v>2.1499999999999998E-2</v>
      </c>
      <c r="Q312" s="188"/>
      <c r="R312" s="188"/>
      <c r="S312" s="188"/>
      <c r="T312" s="188"/>
      <c r="U312" s="188"/>
    </row>
    <row r="313" spans="1:21">
      <c r="A313" s="88" t="s">
        <v>545</v>
      </c>
      <c r="B313" s="415">
        <f t="shared" si="28"/>
        <v>9.9000000000000008E-3</v>
      </c>
      <c r="C313" s="188" t="s">
        <v>37</v>
      </c>
      <c r="D313" s="188" t="s">
        <v>40</v>
      </c>
      <c r="E313" s="188" t="s">
        <v>29</v>
      </c>
      <c r="F313" s="188" t="s">
        <v>35</v>
      </c>
      <c r="G313" s="188" t="s">
        <v>33</v>
      </c>
      <c r="H313" s="188">
        <v>2</v>
      </c>
      <c r="I313" s="188">
        <f t="shared" si="31"/>
        <v>-4.6152205218415929</v>
      </c>
      <c r="J313" s="188">
        <v>0.22500000000000006</v>
      </c>
      <c r="K313" s="188" t="s">
        <v>31</v>
      </c>
      <c r="L313" s="188" t="s">
        <v>31</v>
      </c>
      <c r="M313" s="188" t="s">
        <v>31</v>
      </c>
      <c r="N313" s="188"/>
      <c r="O313" s="401" t="s">
        <v>241</v>
      </c>
      <c r="P313" s="452">
        <v>9.9000000000000008E-3</v>
      </c>
      <c r="Q313" s="188"/>
      <c r="R313" s="188"/>
      <c r="S313" s="188"/>
      <c r="T313" s="188"/>
      <c r="U313" s="188"/>
    </row>
    <row r="314" spans="1:21">
      <c r="A314" s="88" t="s">
        <v>958</v>
      </c>
      <c r="B314" s="415">
        <f t="shared" si="28"/>
        <v>7.4999999999999997E-3</v>
      </c>
      <c r="C314" s="188" t="s">
        <v>37</v>
      </c>
      <c r="D314" s="188" t="s">
        <v>40</v>
      </c>
      <c r="E314" s="188" t="s">
        <v>29</v>
      </c>
      <c r="F314" s="188" t="s">
        <v>59</v>
      </c>
      <c r="G314" s="188" t="s">
        <v>33</v>
      </c>
      <c r="H314" s="188">
        <v>2</v>
      </c>
      <c r="I314" s="188">
        <f t="shared" si="31"/>
        <v>-4.8928522584398726</v>
      </c>
      <c r="J314" s="188">
        <v>0.22500000000000006</v>
      </c>
      <c r="K314" s="188" t="s">
        <v>31</v>
      </c>
      <c r="L314" s="188" t="s">
        <v>31</v>
      </c>
      <c r="M314" s="188" t="s">
        <v>31</v>
      </c>
      <c r="N314" s="188"/>
      <c r="O314" s="401" t="s">
        <v>241</v>
      </c>
      <c r="P314" s="452">
        <v>7.4999999999999997E-3</v>
      </c>
      <c r="Q314" s="188"/>
      <c r="R314" s="188"/>
      <c r="S314" s="188"/>
      <c r="T314" s="188"/>
      <c r="U314" s="188"/>
    </row>
    <row r="315" spans="1:21">
      <c r="A315" s="88" t="s">
        <v>193</v>
      </c>
      <c r="B315" s="415">
        <f t="shared" si="28"/>
        <v>2.1499999999999998E-2</v>
      </c>
      <c r="C315" s="188" t="s">
        <v>37</v>
      </c>
      <c r="D315" s="188" t="s">
        <v>40</v>
      </c>
      <c r="E315" s="188" t="s">
        <v>29</v>
      </c>
      <c r="F315" s="188" t="s">
        <v>59</v>
      </c>
      <c r="G315" s="188" t="s">
        <v>33</v>
      </c>
      <c r="H315" s="188">
        <v>2</v>
      </c>
      <c r="I315" s="188">
        <f t="shared" si="31"/>
        <v>-3.8397023438485198</v>
      </c>
      <c r="J315" s="188">
        <v>0.22500000000000006</v>
      </c>
      <c r="K315" s="188" t="s">
        <v>31</v>
      </c>
      <c r="L315" s="188" t="s">
        <v>31</v>
      </c>
      <c r="M315" s="188" t="s">
        <v>31</v>
      </c>
      <c r="N315" s="188"/>
      <c r="O315" s="401" t="s">
        <v>241</v>
      </c>
      <c r="P315" s="452">
        <v>2.1499999999999998E-2</v>
      </c>
      <c r="Q315" s="188"/>
      <c r="R315" s="188"/>
      <c r="S315" s="188"/>
      <c r="T315" s="188"/>
      <c r="U315" s="188"/>
    </row>
    <row r="316" spans="1:21">
      <c r="A316" s="346" t="s">
        <v>799</v>
      </c>
      <c r="B316" s="415">
        <f t="shared" si="28"/>
        <v>0.39800000000000002</v>
      </c>
      <c r="C316" s="188" t="s">
        <v>37</v>
      </c>
      <c r="D316" s="188" t="s">
        <v>40</v>
      </c>
      <c r="E316" s="188" t="s">
        <v>29</v>
      </c>
      <c r="F316" s="37" t="s">
        <v>74</v>
      </c>
      <c r="G316" s="188" t="s">
        <v>33</v>
      </c>
      <c r="H316" s="188">
        <v>2</v>
      </c>
      <c r="I316" s="188">
        <f t="shared" si="31"/>
        <v>-0.92130327369769927</v>
      </c>
      <c r="J316" s="188">
        <v>0.22500000000000006</v>
      </c>
      <c r="K316" s="188" t="s">
        <v>31</v>
      </c>
      <c r="L316" s="188" t="s">
        <v>31</v>
      </c>
      <c r="M316" s="188" t="s">
        <v>31</v>
      </c>
      <c r="N316" s="188"/>
      <c r="O316" s="401" t="s">
        <v>241</v>
      </c>
      <c r="P316" s="452">
        <v>0.39800000000000002</v>
      </c>
      <c r="Q316" s="188"/>
      <c r="R316" s="188"/>
      <c r="S316" s="188"/>
      <c r="T316" s="188"/>
      <c r="U316" s="188"/>
    </row>
    <row r="317" spans="1:21">
      <c r="A317" s="88" t="s">
        <v>758</v>
      </c>
      <c r="B317" s="415">
        <f t="shared" si="28"/>
        <v>3.8E-3</v>
      </c>
      <c r="C317" s="188" t="s">
        <v>37</v>
      </c>
      <c r="D317" s="188" t="s">
        <v>43</v>
      </c>
      <c r="E317" s="188" t="s">
        <v>44</v>
      </c>
      <c r="F317" s="188" t="s">
        <v>29</v>
      </c>
      <c r="G317" s="188" t="s">
        <v>45</v>
      </c>
      <c r="H317" s="188">
        <v>2</v>
      </c>
      <c r="I317" s="188">
        <f t="shared" si="31"/>
        <v>-5.5727542122497971</v>
      </c>
      <c r="J317" s="188">
        <v>0.22500000000000006</v>
      </c>
      <c r="K317" s="188" t="s">
        <v>31</v>
      </c>
      <c r="L317" s="188" t="s">
        <v>31</v>
      </c>
      <c r="M317" s="188" t="s">
        <v>31</v>
      </c>
      <c r="N317" s="188"/>
      <c r="O317" s="416" t="s">
        <v>241</v>
      </c>
      <c r="P317" s="417">
        <v>3.8E-3</v>
      </c>
      <c r="Q317" s="188"/>
      <c r="R317" s="188"/>
      <c r="S317" s="188"/>
      <c r="T317" s="188"/>
      <c r="U317" s="188"/>
    </row>
    <row r="318" spans="1:21">
      <c r="A318" s="188" t="s">
        <v>784</v>
      </c>
      <c r="B318" s="415">
        <f t="shared" si="28"/>
        <v>7.0999999999999994E-2</v>
      </c>
      <c r="C318" s="188" t="s">
        <v>37</v>
      </c>
      <c r="D318" s="408" t="s">
        <v>2</v>
      </c>
      <c r="E318" s="188" t="s">
        <v>29</v>
      </c>
      <c r="F318" s="37" t="s">
        <v>74</v>
      </c>
      <c r="G318" s="188" t="s">
        <v>33</v>
      </c>
      <c r="H318" s="188">
        <v>2</v>
      </c>
      <c r="I318" s="188">
        <f t="shared" si="31"/>
        <v>-2.6450754019408218</v>
      </c>
      <c r="J318" s="188">
        <v>0.22500000000000006</v>
      </c>
      <c r="K318" s="188" t="s">
        <v>31</v>
      </c>
      <c r="L318" s="188" t="s">
        <v>31</v>
      </c>
      <c r="M318" s="188" t="s">
        <v>31</v>
      </c>
      <c r="N318" s="188"/>
      <c r="O318" s="418" t="s">
        <v>241</v>
      </c>
      <c r="P318" s="453">
        <v>7.0999999999999994E-2</v>
      </c>
      <c r="Q318" s="188"/>
      <c r="R318" s="188"/>
      <c r="S318" s="188"/>
      <c r="T318" s="188"/>
      <c r="U318" s="188"/>
    </row>
    <row r="319" spans="1:21" s="70" customFormat="1">
      <c r="A319" s="370" t="s">
        <v>5</v>
      </c>
      <c r="B319" s="371" t="s">
        <v>1133</v>
      </c>
      <c r="C319" s="353"/>
      <c r="D319" s="353"/>
      <c r="E319" s="353"/>
      <c r="F319" s="353"/>
      <c r="G319" s="353"/>
      <c r="H319" s="353"/>
      <c r="I319" s="353"/>
      <c r="J319" s="353"/>
      <c r="K319" s="353"/>
      <c r="L319" s="353"/>
      <c r="M319" s="353"/>
      <c r="N319" s="353"/>
      <c r="O319" s="353"/>
      <c r="P319" s="353"/>
      <c r="Q319" s="353"/>
      <c r="R319" s="353"/>
      <c r="S319" s="353"/>
      <c r="T319" s="353"/>
      <c r="U319" s="353"/>
    </row>
    <row r="320" spans="1:21">
      <c r="A320" s="346" t="s">
        <v>7</v>
      </c>
      <c r="B320" s="188" t="s">
        <v>786</v>
      </c>
      <c r="C320" s="345"/>
      <c r="D320" s="188"/>
      <c r="E320" s="188"/>
      <c r="F320" s="188"/>
      <c r="G320" s="188"/>
      <c r="H320" s="188"/>
      <c r="I320" s="188"/>
      <c r="J320" s="188"/>
      <c r="K320" s="188"/>
      <c r="L320" s="188"/>
      <c r="M320" s="188"/>
      <c r="N320" s="188"/>
      <c r="O320" s="188"/>
      <c r="P320" s="188"/>
      <c r="Q320" s="188"/>
      <c r="R320" s="188"/>
      <c r="S320" s="188"/>
      <c r="T320" s="188"/>
      <c r="U320" s="188"/>
    </row>
    <row r="321" spans="1:21">
      <c r="A321" s="424" t="s">
        <v>9</v>
      </c>
      <c r="B321" s="188" t="s">
        <v>1134</v>
      </c>
      <c r="C321" s="345"/>
      <c r="D321" s="188"/>
      <c r="E321" s="188"/>
      <c r="F321" s="188"/>
      <c r="G321" s="188"/>
      <c r="H321" s="188"/>
      <c r="I321" s="188"/>
      <c r="J321" s="188"/>
      <c r="K321" s="188"/>
      <c r="L321" s="188"/>
      <c r="M321" s="188"/>
      <c r="N321" s="188"/>
      <c r="O321" s="188"/>
      <c r="P321" s="188"/>
      <c r="Q321" s="188"/>
      <c r="R321" s="188"/>
      <c r="S321" s="188"/>
      <c r="T321" s="188"/>
      <c r="U321" s="188"/>
    </row>
    <row r="322" spans="1:21" ht="15.75" customHeight="1">
      <c r="A322" s="346" t="s">
        <v>11</v>
      </c>
      <c r="B322" s="347" t="s">
        <v>796</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46" t="s">
        <v>13</v>
      </c>
      <c r="B323" s="188" t="s">
        <v>14</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46" t="s">
        <v>15</v>
      </c>
      <c r="B324" s="415">
        <f>B329</f>
        <v>1.7000000000000001E-2</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46" t="s">
        <v>16</v>
      </c>
      <c r="B325" s="188" t="s">
        <v>17</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46" t="s">
        <v>18</v>
      </c>
      <c r="B326" s="188" t="s">
        <v>609</v>
      </c>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43" t="s">
        <v>19</v>
      </c>
      <c r="B327" s="188"/>
      <c r="C327" s="188"/>
      <c r="D327" s="188"/>
      <c r="E327" s="188"/>
      <c r="F327" s="188"/>
      <c r="G327" s="188"/>
      <c r="H327" s="188"/>
      <c r="I327" s="188"/>
      <c r="J327" s="188"/>
      <c r="K327" s="188"/>
      <c r="L327" s="188"/>
      <c r="M327" s="188"/>
      <c r="N327" s="188"/>
      <c r="O327" s="188"/>
      <c r="P327" s="188"/>
      <c r="Q327" s="188"/>
      <c r="R327" s="188"/>
      <c r="S327" s="188"/>
      <c r="T327" s="188"/>
      <c r="U327" s="188"/>
    </row>
    <row r="328" spans="1:21">
      <c r="A328" s="344" t="s">
        <v>20</v>
      </c>
      <c r="B328" s="344" t="s">
        <v>21</v>
      </c>
      <c r="C328" s="344" t="s">
        <v>18</v>
      </c>
      <c r="D328" s="344" t="s">
        <v>22</v>
      </c>
      <c r="E328" s="344" t="s">
        <v>7</v>
      </c>
      <c r="F328" s="344" t="s">
        <v>13</v>
      </c>
      <c r="G328" s="344" t="s">
        <v>16</v>
      </c>
      <c r="H328" s="344" t="s">
        <v>23</v>
      </c>
      <c r="I328" s="344" t="s">
        <v>24</v>
      </c>
      <c r="J328" s="344" t="s">
        <v>25</v>
      </c>
      <c r="K328" s="344" t="s">
        <v>26</v>
      </c>
      <c r="L328" s="344" t="s">
        <v>27</v>
      </c>
      <c r="M328" s="344" t="s">
        <v>28</v>
      </c>
      <c r="N328" s="344" t="s">
        <v>11</v>
      </c>
      <c r="O328" s="188"/>
      <c r="P328" s="188"/>
      <c r="Q328" s="188"/>
      <c r="R328" s="188"/>
      <c r="S328" s="188"/>
      <c r="T328" s="415"/>
      <c r="U328" s="188"/>
    </row>
    <row r="329" spans="1:21">
      <c r="A329" s="188" t="s">
        <v>1133</v>
      </c>
      <c r="B329" s="415">
        <f>P330</f>
        <v>1.7000000000000001E-2</v>
      </c>
      <c r="C329" s="188" t="s">
        <v>609</v>
      </c>
      <c r="D329" s="408" t="s">
        <v>2</v>
      </c>
      <c r="E329" s="188" t="s">
        <v>29</v>
      </c>
      <c r="F329" s="188" t="s">
        <v>14</v>
      </c>
      <c r="G329" s="188" t="s">
        <v>30</v>
      </c>
      <c r="H329" s="188">
        <v>1</v>
      </c>
      <c r="I329" s="188">
        <f t="shared" ref="I329:I331" si="32">B329</f>
        <v>1.7000000000000001E-2</v>
      </c>
      <c r="J329" s="188" t="s">
        <v>31</v>
      </c>
      <c r="K329" s="188" t="s">
        <v>31</v>
      </c>
      <c r="L329" s="188" t="s">
        <v>31</v>
      </c>
      <c r="M329" s="188" t="s">
        <v>31</v>
      </c>
      <c r="N329" s="188"/>
      <c r="O329" s="188"/>
      <c r="P329" s="188"/>
      <c r="Q329" s="188"/>
      <c r="R329" s="188"/>
      <c r="S329" s="188"/>
      <c r="T329" s="188"/>
      <c r="U329" s="188"/>
    </row>
    <row r="330" spans="1:21">
      <c r="A330" s="192" t="s">
        <v>1135</v>
      </c>
      <c r="B330" s="415">
        <f>P330</f>
        <v>1.7000000000000001E-2</v>
      </c>
      <c r="C330" s="188" t="s">
        <v>609</v>
      </c>
      <c r="D330" s="408" t="s">
        <v>2</v>
      </c>
      <c r="E330" s="188" t="s">
        <v>29</v>
      </c>
      <c r="F330" s="188" t="s">
        <v>14</v>
      </c>
      <c r="G330" s="188" t="s">
        <v>33</v>
      </c>
      <c r="H330" s="188">
        <v>1</v>
      </c>
      <c r="I330" s="188">
        <f t="shared" si="32"/>
        <v>1.7000000000000001E-2</v>
      </c>
      <c r="J330" s="188">
        <v>2.8722813232690055E-2</v>
      </c>
      <c r="K330" s="188" t="s">
        <v>31</v>
      </c>
      <c r="L330" s="188" t="s">
        <v>31</v>
      </c>
      <c r="M330" s="188" t="s">
        <v>31</v>
      </c>
      <c r="N330" s="188"/>
      <c r="O330" s="396" t="s">
        <v>823</v>
      </c>
      <c r="P330" s="454">
        <v>1.7000000000000001E-2</v>
      </c>
      <c r="Q330" s="188"/>
      <c r="R330" s="188"/>
      <c r="S330" s="188"/>
      <c r="T330" s="188"/>
      <c r="U330" s="188"/>
    </row>
    <row r="331" spans="1:21">
      <c r="A331" s="192" t="s">
        <v>1077</v>
      </c>
      <c r="B331" s="188">
        <f>R331</f>
        <v>0.17200000000000001</v>
      </c>
      <c r="C331" s="188" t="s">
        <v>241</v>
      </c>
      <c r="D331" s="408" t="s">
        <v>2</v>
      </c>
      <c r="E331" s="188" t="s">
        <v>29</v>
      </c>
      <c r="F331" s="188" t="s">
        <v>14</v>
      </c>
      <c r="G331" s="188" t="s">
        <v>33</v>
      </c>
      <c r="H331" s="188">
        <v>1</v>
      </c>
      <c r="I331" s="188">
        <f t="shared" si="32"/>
        <v>0.17200000000000001</v>
      </c>
      <c r="J331" s="188">
        <v>2.8722813232690055E-2</v>
      </c>
      <c r="K331" s="188" t="s">
        <v>31</v>
      </c>
      <c r="L331" s="188" t="s">
        <v>31</v>
      </c>
      <c r="M331" s="188" t="s">
        <v>31</v>
      </c>
      <c r="N331" s="188"/>
      <c r="O331" s="396" t="s">
        <v>580</v>
      </c>
      <c r="P331" s="455">
        <v>172</v>
      </c>
      <c r="Q331" s="188" t="s">
        <v>241</v>
      </c>
      <c r="R331" s="188">
        <f>P331*0.001</f>
        <v>0.17200000000000001</v>
      </c>
      <c r="S331" s="188"/>
      <c r="T331" s="188"/>
      <c r="U331" s="188"/>
    </row>
    <row r="332" spans="1:21">
      <c r="A332" s="346" t="s">
        <v>269</v>
      </c>
      <c r="B332" s="350">
        <f>P332</f>
        <v>0.02</v>
      </c>
      <c r="C332" s="188" t="s">
        <v>39</v>
      </c>
      <c r="D332" s="188" t="s">
        <v>40</v>
      </c>
      <c r="E332" s="188" t="s">
        <v>29</v>
      </c>
      <c r="F332" s="37" t="s">
        <v>35</v>
      </c>
      <c r="G332" s="188" t="s">
        <v>33</v>
      </c>
      <c r="H332" s="188">
        <v>2</v>
      </c>
      <c r="I332" s="188">
        <f t="shared" ref="I332:I334" si="33">LN(B332)</f>
        <v>-3.912023005428146</v>
      </c>
      <c r="J332" s="188">
        <v>0.20928449536456342</v>
      </c>
      <c r="K332" s="188" t="s">
        <v>31</v>
      </c>
      <c r="L332" s="188" t="s">
        <v>31</v>
      </c>
      <c r="M332" s="188" t="s">
        <v>31</v>
      </c>
      <c r="N332" s="188"/>
      <c r="O332" s="401" t="s">
        <v>248</v>
      </c>
      <c r="P332" s="151">
        <v>0.02</v>
      </c>
      <c r="Q332" s="188"/>
      <c r="R332" s="188"/>
      <c r="S332" s="188"/>
      <c r="T332" s="188"/>
      <c r="U332" s="188"/>
    </row>
    <row r="333" spans="1:21">
      <c r="A333" s="346" t="s">
        <v>269</v>
      </c>
      <c r="B333" s="350">
        <f>P333</f>
        <v>0.98</v>
      </c>
      <c r="C333" s="188" t="s">
        <v>39</v>
      </c>
      <c r="D333" s="188" t="s">
        <v>40</v>
      </c>
      <c r="E333" s="188" t="s">
        <v>29</v>
      </c>
      <c r="F333" s="37" t="s">
        <v>35</v>
      </c>
      <c r="G333" s="188" t="s">
        <v>33</v>
      </c>
      <c r="H333" s="188">
        <v>2</v>
      </c>
      <c r="I333" s="188">
        <f t="shared" si="33"/>
        <v>-2.0202707317519466E-2</v>
      </c>
      <c r="J333" s="188">
        <v>0.20928449536456342</v>
      </c>
      <c r="K333" s="188" t="s">
        <v>31</v>
      </c>
      <c r="L333" s="188" t="s">
        <v>31</v>
      </c>
      <c r="M333" s="188" t="s">
        <v>31</v>
      </c>
      <c r="N333" s="188"/>
      <c r="O333" s="401" t="s">
        <v>248</v>
      </c>
      <c r="P333" s="138">
        <v>0.98</v>
      </c>
      <c r="Q333" s="188"/>
      <c r="R333" s="188"/>
      <c r="S333" s="188"/>
      <c r="T333" s="188"/>
      <c r="U333" s="188"/>
    </row>
    <row r="334" spans="1:21">
      <c r="A334" s="346" t="s">
        <v>269</v>
      </c>
      <c r="B334" s="350">
        <f>P334</f>
        <v>0.25</v>
      </c>
      <c r="C334" s="188" t="s">
        <v>39</v>
      </c>
      <c r="D334" s="188" t="s">
        <v>40</v>
      </c>
      <c r="E334" s="188" t="s">
        <v>29</v>
      </c>
      <c r="F334" s="37" t="s">
        <v>35</v>
      </c>
      <c r="G334" s="188" t="s">
        <v>33</v>
      </c>
      <c r="H334" s="188">
        <v>2</v>
      </c>
      <c r="I334" s="188">
        <f t="shared" si="33"/>
        <v>-1.3862943611198906</v>
      </c>
      <c r="J334" s="188">
        <v>9.6436507609929598E-2</v>
      </c>
      <c r="K334" s="188" t="s">
        <v>31</v>
      </c>
      <c r="L334" s="188" t="s">
        <v>31</v>
      </c>
      <c r="M334" s="188" t="s">
        <v>31</v>
      </c>
      <c r="N334" s="188"/>
      <c r="O334" s="401" t="s">
        <v>248</v>
      </c>
      <c r="P334" s="138">
        <v>0.25</v>
      </c>
      <c r="Q334" s="188"/>
      <c r="R334" s="188"/>
      <c r="S334" s="188"/>
      <c r="T334" s="188"/>
      <c r="U334" s="188"/>
    </row>
    <row r="335" spans="1:21">
      <c r="A335" s="88" t="s">
        <v>680</v>
      </c>
      <c r="B335" s="415">
        <f>R335</f>
        <v>1E-3</v>
      </c>
      <c r="C335" s="188" t="s">
        <v>37</v>
      </c>
      <c r="D335" s="188" t="s">
        <v>40</v>
      </c>
      <c r="E335" s="188" t="s">
        <v>29</v>
      </c>
      <c r="F335" s="188" t="s">
        <v>35</v>
      </c>
      <c r="G335" s="188" t="s">
        <v>33</v>
      </c>
      <c r="H335" s="188">
        <v>2</v>
      </c>
      <c r="I335" s="188">
        <f>LN(B335)</f>
        <v>-6.9077552789821368</v>
      </c>
      <c r="J335" s="188">
        <v>0.20928449536456342</v>
      </c>
      <c r="K335" s="188" t="s">
        <v>31</v>
      </c>
      <c r="L335" s="188" t="s">
        <v>31</v>
      </c>
      <c r="M335" s="188" t="s">
        <v>31</v>
      </c>
      <c r="N335" s="188"/>
      <c r="O335" s="401" t="s">
        <v>580</v>
      </c>
      <c r="P335" s="138">
        <v>1</v>
      </c>
      <c r="Q335" s="188" t="s">
        <v>241</v>
      </c>
      <c r="R335" s="188">
        <f>P335*0.001</f>
        <v>1E-3</v>
      </c>
      <c r="S335" s="188"/>
      <c r="T335" s="188"/>
      <c r="U335" s="188"/>
    </row>
    <row r="336" spans="1:21">
      <c r="A336" s="346" t="s">
        <v>799</v>
      </c>
      <c r="B336" s="415">
        <f>P336</f>
        <v>0.01</v>
      </c>
      <c r="C336" s="188" t="s">
        <v>37</v>
      </c>
      <c r="D336" s="188" t="s">
        <v>40</v>
      </c>
      <c r="E336" s="188" t="s">
        <v>29</v>
      </c>
      <c r="F336" s="37" t="s">
        <v>74</v>
      </c>
      <c r="G336" s="188" t="s">
        <v>33</v>
      </c>
      <c r="H336" s="188">
        <v>2</v>
      </c>
      <c r="I336" s="188">
        <f>LN(B336)</f>
        <v>-4.6051701859880909</v>
      </c>
      <c r="J336" s="188">
        <v>0.20928449536456342</v>
      </c>
      <c r="K336" s="188" t="s">
        <v>31</v>
      </c>
      <c r="L336" s="188" t="s">
        <v>31</v>
      </c>
      <c r="M336" s="188" t="s">
        <v>31</v>
      </c>
      <c r="N336" s="188"/>
      <c r="O336" s="401" t="s">
        <v>241</v>
      </c>
      <c r="P336" s="151">
        <v>0.01</v>
      </c>
      <c r="Q336" s="188"/>
      <c r="R336" s="188"/>
      <c r="S336" s="188"/>
      <c r="T336" s="188"/>
      <c r="U336" s="188"/>
    </row>
    <row r="337" spans="1:21">
      <c r="A337" s="88" t="s">
        <v>300</v>
      </c>
      <c r="B337" s="441">
        <f>R337</f>
        <v>2.5000000000000001E-3</v>
      </c>
      <c r="C337" s="188" t="s">
        <v>37</v>
      </c>
      <c r="D337" s="188" t="s">
        <v>40</v>
      </c>
      <c r="E337" s="188" t="s">
        <v>29</v>
      </c>
      <c r="F337" s="37" t="s">
        <v>82</v>
      </c>
      <c r="G337" s="188" t="s">
        <v>33</v>
      </c>
      <c r="H337" s="188">
        <v>2</v>
      </c>
      <c r="I337" s="188">
        <f>LN(B337)</f>
        <v>-5.9914645471079817</v>
      </c>
      <c r="J337" s="188">
        <v>0.20928449536456342</v>
      </c>
      <c r="K337" s="188" t="s">
        <v>31</v>
      </c>
      <c r="L337" s="188" t="s">
        <v>31</v>
      </c>
      <c r="M337" s="188" t="s">
        <v>31</v>
      </c>
      <c r="N337" s="188"/>
      <c r="O337" s="401" t="s">
        <v>580</v>
      </c>
      <c r="P337" s="138">
        <v>2.5</v>
      </c>
      <c r="Q337" s="188" t="s">
        <v>241</v>
      </c>
      <c r="R337" s="188">
        <f>P337*0.001</f>
        <v>2.5000000000000001E-3</v>
      </c>
      <c r="S337" s="188"/>
      <c r="T337" s="188"/>
      <c r="U337" s="188"/>
    </row>
    <row r="338" spans="1:21">
      <c r="A338" s="88" t="s">
        <v>545</v>
      </c>
      <c r="B338" s="188">
        <f>R338</f>
        <v>4.0000000000000001E-3</v>
      </c>
      <c r="C338" s="188" t="s">
        <v>37</v>
      </c>
      <c r="D338" s="188" t="s">
        <v>40</v>
      </c>
      <c r="E338" s="188" t="s">
        <v>29</v>
      </c>
      <c r="F338" s="188" t="s">
        <v>35</v>
      </c>
      <c r="G338" s="188" t="s">
        <v>33</v>
      </c>
      <c r="H338" s="188">
        <v>2</v>
      </c>
      <c r="I338" s="188">
        <f>LN(B338)</f>
        <v>-5.521460917862246</v>
      </c>
      <c r="J338" s="188">
        <v>0.20928449536456342</v>
      </c>
      <c r="K338" s="188" t="s">
        <v>31</v>
      </c>
      <c r="L338" s="188" t="s">
        <v>31</v>
      </c>
      <c r="M338" s="188" t="s">
        <v>31</v>
      </c>
      <c r="N338" s="188"/>
      <c r="O338" s="401" t="s">
        <v>580</v>
      </c>
      <c r="P338" s="138">
        <v>4</v>
      </c>
      <c r="Q338" s="188" t="s">
        <v>241</v>
      </c>
      <c r="R338" s="188">
        <f>P338*0.001</f>
        <v>4.0000000000000001E-3</v>
      </c>
      <c r="S338" s="188"/>
      <c r="T338" s="188"/>
      <c r="U338" s="188"/>
    </row>
    <row r="339" spans="1:21">
      <c r="A339" s="346" t="s">
        <v>202</v>
      </c>
      <c r="B339" s="188">
        <f>P339</f>
        <v>2.9</v>
      </c>
      <c r="C339" s="188" t="s">
        <v>37</v>
      </c>
      <c r="D339" s="188" t="s">
        <v>40</v>
      </c>
      <c r="E339" s="188" t="s">
        <v>29</v>
      </c>
      <c r="F339" s="37" t="s">
        <v>35</v>
      </c>
      <c r="G339" s="188" t="s">
        <v>33</v>
      </c>
      <c r="H339" s="188">
        <v>2</v>
      </c>
      <c r="I339" s="188">
        <f t="shared" ref="I339:I340" si="34">LN(B339)</f>
        <v>1.0647107369924282</v>
      </c>
      <c r="J339" s="188">
        <v>0.20928449536456342</v>
      </c>
      <c r="K339" s="188" t="s">
        <v>31</v>
      </c>
      <c r="L339" s="188" t="s">
        <v>31</v>
      </c>
      <c r="M339" s="188" t="s">
        <v>31</v>
      </c>
      <c r="N339" s="188"/>
      <c r="O339" s="401" t="s">
        <v>241</v>
      </c>
      <c r="P339" s="138">
        <v>2.9</v>
      </c>
      <c r="Q339" s="188"/>
      <c r="R339" s="188"/>
      <c r="S339" s="188"/>
      <c r="T339" s="188"/>
      <c r="U339" s="188"/>
    </row>
    <row r="340" spans="1:21">
      <c r="A340" s="188" t="s">
        <v>784</v>
      </c>
      <c r="B340" s="415">
        <f>P340</f>
        <v>8.3000000000000001E-3</v>
      </c>
      <c r="C340" s="188" t="s">
        <v>37</v>
      </c>
      <c r="D340" s="408" t="s">
        <v>2</v>
      </c>
      <c r="E340" s="188" t="s">
        <v>29</v>
      </c>
      <c r="F340" s="37" t="s">
        <v>74</v>
      </c>
      <c r="G340" s="188" t="s">
        <v>33</v>
      </c>
      <c r="H340" s="188">
        <v>2</v>
      </c>
      <c r="I340" s="188">
        <f t="shared" si="34"/>
        <v>-4.7914997641795845</v>
      </c>
      <c r="J340" s="188">
        <v>0.20928449536456342</v>
      </c>
      <c r="K340" s="188" t="s">
        <v>31</v>
      </c>
      <c r="L340" s="188" t="s">
        <v>31</v>
      </c>
      <c r="M340" s="188" t="s">
        <v>31</v>
      </c>
      <c r="N340" s="188"/>
      <c r="O340" s="418" t="s">
        <v>241</v>
      </c>
      <c r="P340" s="174">
        <v>8.3000000000000001E-3</v>
      </c>
      <c r="Q340" s="188"/>
      <c r="R340" s="188"/>
      <c r="S340" s="188"/>
      <c r="T340" s="188"/>
      <c r="U340" s="188"/>
    </row>
    <row r="341" spans="1:21" s="70" customFormat="1">
      <c r="A341" s="370" t="s">
        <v>5</v>
      </c>
      <c r="B341" s="371" t="s">
        <v>1135</v>
      </c>
      <c r="C341" s="353"/>
      <c r="D341" s="353"/>
      <c r="E341" s="353"/>
      <c r="F341" s="353"/>
      <c r="G341" s="353"/>
      <c r="H341" s="353"/>
      <c r="I341" s="353"/>
      <c r="J341" s="353"/>
      <c r="K341" s="353"/>
      <c r="L341" s="353"/>
      <c r="M341" s="353"/>
      <c r="N341" s="353"/>
      <c r="O341" s="353"/>
      <c r="P341" s="469"/>
      <c r="Q341" s="353"/>
      <c r="R341" s="353"/>
      <c r="S341" s="353"/>
      <c r="T341" s="353"/>
      <c r="U341" s="353"/>
    </row>
    <row r="342" spans="1:21">
      <c r="A342" s="346" t="s">
        <v>7</v>
      </c>
      <c r="B342" s="188" t="s">
        <v>786</v>
      </c>
      <c r="C342" s="345"/>
      <c r="D342" s="188"/>
      <c r="E342" s="188"/>
      <c r="F342" s="188"/>
      <c r="G342" s="188"/>
      <c r="H342" s="188"/>
      <c r="I342" s="188"/>
      <c r="J342" s="188"/>
      <c r="K342" s="188"/>
      <c r="L342" s="188"/>
      <c r="M342" s="188"/>
      <c r="N342" s="188"/>
      <c r="O342" s="188"/>
      <c r="P342" s="188"/>
      <c r="Q342" s="188"/>
      <c r="R342" s="188"/>
      <c r="S342" s="188"/>
      <c r="T342" s="188"/>
      <c r="U342" s="188"/>
    </row>
    <row r="343" spans="1:21">
      <c r="A343" s="424" t="s">
        <v>9</v>
      </c>
      <c r="B343" s="188" t="s">
        <v>1136</v>
      </c>
      <c r="C343" s="345"/>
      <c r="D343" s="188"/>
      <c r="E343" s="188"/>
      <c r="F343" s="188"/>
      <c r="G343" s="188"/>
      <c r="H343" s="188"/>
      <c r="I343" s="188"/>
      <c r="J343" s="188"/>
      <c r="K343" s="188"/>
      <c r="L343" s="188"/>
      <c r="M343" s="188"/>
      <c r="N343" s="188"/>
      <c r="O343" s="188"/>
      <c r="P343" s="188"/>
      <c r="Q343" s="188"/>
      <c r="R343" s="188"/>
      <c r="S343" s="188"/>
      <c r="T343" s="188"/>
      <c r="U343" s="188"/>
    </row>
    <row r="344" spans="1:21" ht="15.75" customHeight="1">
      <c r="A344" s="346" t="s">
        <v>11</v>
      </c>
      <c r="B344" s="347" t="s">
        <v>796</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46" t="s">
        <v>13</v>
      </c>
      <c r="B345" s="188" t="s">
        <v>14</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46" t="s">
        <v>15</v>
      </c>
      <c r="B346" s="415">
        <f>B351</f>
        <v>1.7000000000000001E-2</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46" t="s">
        <v>16</v>
      </c>
      <c r="B347" s="188" t="s">
        <v>17</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46" t="s">
        <v>18</v>
      </c>
      <c r="B348" s="188" t="s">
        <v>609</v>
      </c>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43" t="s">
        <v>19</v>
      </c>
      <c r="B349" s="188"/>
      <c r="C349" s="188"/>
      <c r="D349" s="188"/>
      <c r="E349" s="188"/>
      <c r="F349" s="188"/>
      <c r="G349" s="188"/>
      <c r="H349" s="188"/>
      <c r="I349" s="188"/>
      <c r="J349" s="188"/>
      <c r="K349" s="188"/>
      <c r="L349" s="188"/>
      <c r="M349" s="188"/>
      <c r="N349" s="188"/>
      <c r="O349" s="188"/>
      <c r="P349" s="188"/>
      <c r="Q349" s="188"/>
      <c r="R349" s="188"/>
      <c r="S349" s="188"/>
      <c r="T349" s="188"/>
      <c r="U349" s="188"/>
    </row>
    <row r="350" spans="1:21">
      <c r="A350" s="344" t="s">
        <v>20</v>
      </c>
      <c r="B350" s="344" t="s">
        <v>21</v>
      </c>
      <c r="C350" s="344" t="s">
        <v>18</v>
      </c>
      <c r="D350" s="344" t="s">
        <v>22</v>
      </c>
      <c r="E350" s="344" t="s">
        <v>7</v>
      </c>
      <c r="F350" s="344" t="s">
        <v>13</v>
      </c>
      <c r="G350" s="344" t="s">
        <v>16</v>
      </c>
      <c r="H350" s="344" t="s">
        <v>23</v>
      </c>
      <c r="I350" s="344" t="s">
        <v>24</v>
      </c>
      <c r="J350" s="344" t="s">
        <v>25</v>
      </c>
      <c r="K350" s="344" t="s">
        <v>26</v>
      </c>
      <c r="L350" s="344" t="s">
        <v>27</v>
      </c>
      <c r="M350" s="344" t="s">
        <v>28</v>
      </c>
      <c r="N350" s="344" t="s">
        <v>11</v>
      </c>
      <c r="O350" s="188"/>
      <c r="P350" s="188"/>
      <c r="Q350" s="188"/>
      <c r="R350" s="188"/>
      <c r="S350" s="188"/>
      <c r="T350" s="415"/>
      <c r="U350" s="188"/>
    </row>
    <row r="351" spans="1:21">
      <c r="A351" s="192" t="s">
        <v>1135</v>
      </c>
      <c r="B351" s="415">
        <f>P351</f>
        <v>1.7000000000000001E-2</v>
      </c>
      <c r="C351" s="188" t="s">
        <v>609</v>
      </c>
      <c r="D351" s="408" t="s">
        <v>2</v>
      </c>
      <c r="E351" s="188" t="s">
        <v>29</v>
      </c>
      <c r="F351" s="188" t="s">
        <v>14</v>
      </c>
      <c r="G351" s="188" t="s">
        <v>30</v>
      </c>
      <c r="H351" s="188">
        <v>1</v>
      </c>
      <c r="I351" s="188">
        <f>B351</f>
        <v>1.7000000000000001E-2</v>
      </c>
      <c r="J351" s="188" t="s">
        <v>31</v>
      </c>
      <c r="K351" s="188" t="s">
        <v>31</v>
      </c>
      <c r="L351" s="188" t="s">
        <v>31</v>
      </c>
      <c r="M351" s="188" t="s">
        <v>31</v>
      </c>
      <c r="N351" s="188"/>
      <c r="O351" s="396" t="s">
        <v>823</v>
      </c>
      <c r="P351" s="486">
        <v>1.7000000000000001E-2</v>
      </c>
      <c r="Q351" s="188"/>
      <c r="R351" s="188"/>
      <c r="S351" s="188"/>
      <c r="T351" s="188"/>
      <c r="U351" s="188"/>
    </row>
    <row r="352" spans="1:21">
      <c r="A352" s="88" t="s">
        <v>848</v>
      </c>
      <c r="B352" s="188">
        <f>P352</f>
        <v>0.03</v>
      </c>
      <c r="C352" s="188" t="s">
        <v>37</v>
      </c>
      <c r="D352" s="188" t="s">
        <v>40</v>
      </c>
      <c r="E352" s="188" t="s">
        <v>29</v>
      </c>
      <c r="F352" s="188" t="s">
        <v>82</v>
      </c>
      <c r="G352" s="188" t="s">
        <v>33</v>
      </c>
      <c r="H352" s="188">
        <v>2</v>
      </c>
      <c r="I352" s="188">
        <f t="shared" ref="I352:I362" si="35">LN(B352)</f>
        <v>-3.5065578973199818</v>
      </c>
      <c r="J352" s="464">
        <v>0.22516660498395411</v>
      </c>
      <c r="K352" s="188" t="s">
        <v>31</v>
      </c>
      <c r="L352" s="188" t="s">
        <v>31</v>
      </c>
      <c r="M352" s="188" t="s">
        <v>31</v>
      </c>
      <c r="N352" s="188"/>
      <c r="O352" s="401" t="s">
        <v>241</v>
      </c>
      <c r="P352" s="138">
        <v>0.03</v>
      </c>
      <c r="Q352" s="188"/>
      <c r="R352" s="188"/>
      <c r="S352" s="188"/>
      <c r="T352" s="188"/>
      <c r="U352" s="188"/>
    </row>
    <row r="353" spans="1:21">
      <c r="A353" s="346" t="s">
        <v>269</v>
      </c>
      <c r="B353" s="350">
        <f>P353</f>
        <v>0.35</v>
      </c>
      <c r="C353" s="188" t="s">
        <v>39</v>
      </c>
      <c r="D353" s="188" t="s">
        <v>40</v>
      </c>
      <c r="E353" s="188" t="s">
        <v>29</v>
      </c>
      <c r="F353" s="37" t="s">
        <v>35</v>
      </c>
      <c r="G353" s="188" t="s">
        <v>33</v>
      </c>
      <c r="H353" s="188">
        <v>2</v>
      </c>
      <c r="I353" s="188">
        <f t="shared" si="35"/>
        <v>-1.0498221244986778</v>
      </c>
      <c r="J353" s="464">
        <v>0.22516660498395411</v>
      </c>
      <c r="K353" s="188" t="s">
        <v>31</v>
      </c>
      <c r="L353" s="188" t="s">
        <v>31</v>
      </c>
      <c r="M353" s="188" t="s">
        <v>31</v>
      </c>
      <c r="N353" s="188"/>
      <c r="O353" s="401" t="s">
        <v>248</v>
      </c>
      <c r="P353" s="138">
        <v>0.35</v>
      </c>
      <c r="Q353" s="188"/>
      <c r="R353" s="188"/>
      <c r="S353" s="188"/>
      <c r="T353" s="188"/>
      <c r="U353" s="188"/>
    </row>
    <row r="354" spans="1:21">
      <c r="A354" s="88" t="s">
        <v>962</v>
      </c>
      <c r="B354" s="415">
        <f>R354</f>
        <v>5.8E-4</v>
      </c>
      <c r="C354" s="188" t="s">
        <v>37</v>
      </c>
      <c r="D354" s="188" t="s">
        <v>40</v>
      </c>
      <c r="E354" s="188" t="s">
        <v>29</v>
      </c>
      <c r="F354" s="188" t="s">
        <v>35</v>
      </c>
      <c r="G354" s="188" t="s">
        <v>33</v>
      </c>
      <c r="H354" s="188">
        <v>2</v>
      </c>
      <c r="I354" s="188">
        <f t="shared" si="35"/>
        <v>-7.4524824544238095</v>
      </c>
      <c r="J354" s="464">
        <v>0.22516660498395411</v>
      </c>
      <c r="K354" s="188" t="s">
        <v>31</v>
      </c>
      <c r="L354" s="188" t="s">
        <v>31</v>
      </c>
      <c r="M354" s="188" t="s">
        <v>31</v>
      </c>
      <c r="N354" s="188"/>
      <c r="O354" s="401" t="s">
        <v>580</v>
      </c>
      <c r="P354" s="151">
        <v>0.57999999999999996</v>
      </c>
      <c r="Q354" s="188" t="s">
        <v>241</v>
      </c>
      <c r="R354" s="415">
        <f>0.001*P354</f>
        <v>5.8E-4</v>
      </c>
      <c r="S354" s="188"/>
      <c r="T354" s="188"/>
      <c r="U354" s="188"/>
    </row>
    <row r="355" spans="1:21">
      <c r="A355" s="88" t="s">
        <v>963</v>
      </c>
      <c r="B355" s="415">
        <f>P355</f>
        <v>2.8E-3</v>
      </c>
      <c r="C355" s="188" t="s">
        <v>37</v>
      </c>
      <c r="D355" s="188" t="s">
        <v>40</v>
      </c>
      <c r="E355" s="188" t="s">
        <v>29</v>
      </c>
      <c r="F355" s="188" t="s">
        <v>35</v>
      </c>
      <c r="G355" s="188" t="s">
        <v>33</v>
      </c>
      <c r="H355" s="188">
        <v>2</v>
      </c>
      <c r="I355" s="188">
        <f t="shared" si="35"/>
        <v>-5.8781358618009785</v>
      </c>
      <c r="J355" s="464">
        <v>0.22516660498395411</v>
      </c>
      <c r="K355" s="188" t="s">
        <v>31</v>
      </c>
      <c r="L355" s="188" t="s">
        <v>31</v>
      </c>
      <c r="M355" s="188" t="s">
        <v>31</v>
      </c>
      <c r="N355" s="188"/>
      <c r="O355" s="401" t="s">
        <v>241</v>
      </c>
      <c r="P355" s="151">
        <v>2.8E-3</v>
      </c>
      <c r="Q355" s="188"/>
      <c r="R355" s="188"/>
      <c r="S355" s="188"/>
      <c r="T355" s="188"/>
      <c r="U355" s="188"/>
    </row>
    <row r="356" spans="1:21">
      <c r="A356" s="88" t="s">
        <v>964</v>
      </c>
      <c r="B356" s="415">
        <f>P356</f>
        <v>2.3E-3</v>
      </c>
      <c r="C356" s="188" t="s">
        <v>37</v>
      </c>
      <c r="D356" s="188" t="s">
        <v>40</v>
      </c>
      <c r="E356" s="188" t="s">
        <v>29</v>
      </c>
      <c r="F356" s="188" t="s">
        <v>35</v>
      </c>
      <c r="G356" s="188" t="s">
        <v>33</v>
      </c>
      <c r="H356" s="188">
        <v>2</v>
      </c>
      <c r="I356" s="188">
        <f t="shared" si="35"/>
        <v>-6.074846156047033</v>
      </c>
      <c r="J356" s="464">
        <v>0.22516660498395411</v>
      </c>
      <c r="K356" s="188" t="s">
        <v>31</v>
      </c>
      <c r="L356" s="188" t="s">
        <v>31</v>
      </c>
      <c r="M356" s="188" t="s">
        <v>31</v>
      </c>
      <c r="N356" s="188"/>
      <c r="O356" s="401" t="s">
        <v>241</v>
      </c>
      <c r="P356" s="151">
        <v>2.3E-3</v>
      </c>
      <c r="Q356" s="188"/>
      <c r="R356" s="188"/>
      <c r="S356" s="188"/>
      <c r="T356" s="188"/>
      <c r="U356" s="188"/>
    </row>
    <row r="357" spans="1:21">
      <c r="A357" s="88" t="s">
        <v>191</v>
      </c>
      <c r="B357" s="415">
        <f>P357</f>
        <v>0.02</v>
      </c>
      <c r="C357" s="188" t="s">
        <v>37</v>
      </c>
      <c r="D357" s="188" t="s">
        <v>40</v>
      </c>
      <c r="E357" s="188" t="s">
        <v>29</v>
      </c>
      <c r="F357" s="188" t="s">
        <v>35</v>
      </c>
      <c r="G357" s="188" t="s">
        <v>33</v>
      </c>
      <c r="H357" s="188">
        <v>2</v>
      </c>
      <c r="I357" s="188">
        <f t="shared" si="35"/>
        <v>-3.912023005428146</v>
      </c>
      <c r="J357" s="464">
        <v>0.22516660498395411</v>
      </c>
      <c r="K357" s="188" t="s">
        <v>31</v>
      </c>
      <c r="L357" s="188" t="s">
        <v>31</v>
      </c>
      <c r="M357" s="188" t="s">
        <v>31</v>
      </c>
      <c r="N357" s="188"/>
      <c r="O357" s="401" t="s">
        <v>241</v>
      </c>
      <c r="P357" s="138">
        <v>0.02</v>
      </c>
      <c r="Q357" s="188"/>
      <c r="R357" s="188"/>
      <c r="S357" s="188"/>
      <c r="T357" s="188"/>
      <c r="U357" s="188"/>
    </row>
    <row r="358" spans="1:21">
      <c r="A358" s="88" t="s">
        <v>965</v>
      </c>
      <c r="B358" s="415">
        <f>R358</f>
        <v>1.2E-4</v>
      </c>
      <c r="C358" s="188" t="s">
        <v>37</v>
      </c>
      <c r="D358" s="188" t="s">
        <v>43</v>
      </c>
      <c r="E358" s="188" t="s">
        <v>44</v>
      </c>
      <c r="F358" s="188" t="s">
        <v>29</v>
      </c>
      <c r="G358" s="188" t="s">
        <v>45</v>
      </c>
      <c r="H358" s="188">
        <v>2</v>
      </c>
      <c r="I358" s="188">
        <f t="shared" si="35"/>
        <v>-9.0280188151822287</v>
      </c>
      <c r="J358" s="464">
        <v>0.10344080432788608</v>
      </c>
      <c r="K358" s="188" t="s">
        <v>31</v>
      </c>
      <c r="L358" s="188" t="s">
        <v>31</v>
      </c>
      <c r="M358" s="188" t="s">
        <v>31</v>
      </c>
      <c r="N358" s="188"/>
      <c r="O358" s="416" t="s">
        <v>580</v>
      </c>
      <c r="P358" s="175">
        <v>0.12</v>
      </c>
      <c r="Q358" s="188" t="s">
        <v>241</v>
      </c>
      <c r="R358" s="415">
        <f>0.001*P358</f>
        <v>1.2E-4</v>
      </c>
      <c r="S358" s="188"/>
      <c r="T358" s="188"/>
      <c r="U358" s="188"/>
    </row>
    <row r="359" spans="1:21">
      <c r="A359" s="88" t="s">
        <v>77</v>
      </c>
      <c r="B359" s="415">
        <f t="shared" ref="B359:B361" si="36">R359</f>
        <v>1E-3</v>
      </c>
      <c r="C359" s="188" t="s">
        <v>37</v>
      </c>
      <c r="D359" s="188" t="s">
        <v>43</v>
      </c>
      <c r="E359" s="188" t="s">
        <v>44</v>
      </c>
      <c r="F359" s="188" t="s">
        <v>29</v>
      </c>
      <c r="G359" s="188" t="s">
        <v>45</v>
      </c>
      <c r="H359" s="188">
        <v>2</v>
      </c>
      <c r="I359" s="188">
        <f t="shared" si="35"/>
        <v>-6.9077552789821368</v>
      </c>
      <c r="J359" s="464">
        <v>0.10344080432788608</v>
      </c>
      <c r="K359" s="188" t="s">
        <v>31</v>
      </c>
      <c r="L359" s="188" t="s">
        <v>31</v>
      </c>
      <c r="M359" s="188" t="s">
        <v>31</v>
      </c>
      <c r="N359" s="188"/>
      <c r="O359" s="416" t="s">
        <v>580</v>
      </c>
      <c r="P359" s="175">
        <v>1</v>
      </c>
      <c r="Q359" s="188" t="s">
        <v>241</v>
      </c>
      <c r="R359" s="415">
        <f>0.001*P359</f>
        <v>1E-3</v>
      </c>
      <c r="S359" s="188"/>
      <c r="T359" s="188"/>
      <c r="U359" s="188"/>
    </row>
    <row r="360" spans="1:21">
      <c r="A360" s="88" t="s">
        <v>966</v>
      </c>
      <c r="B360" s="415">
        <f t="shared" si="36"/>
        <v>8.1000000000000006E-4</v>
      </c>
      <c r="C360" s="188" t="s">
        <v>37</v>
      </c>
      <c r="D360" s="188" t="s">
        <v>43</v>
      </c>
      <c r="E360" s="188" t="s">
        <v>44</v>
      </c>
      <c r="F360" s="188" t="s">
        <v>29</v>
      </c>
      <c r="G360" s="188" t="s">
        <v>45</v>
      </c>
      <c r="H360" s="188">
        <v>2</v>
      </c>
      <c r="I360" s="188">
        <f t="shared" si="35"/>
        <v>-7.1184763102977895</v>
      </c>
      <c r="J360" s="464">
        <v>0.10344080432788608</v>
      </c>
      <c r="K360" s="188" t="s">
        <v>31</v>
      </c>
      <c r="L360" s="188" t="s">
        <v>31</v>
      </c>
      <c r="M360" s="188" t="s">
        <v>31</v>
      </c>
      <c r="N360" s="188"/>
      <c r="O360" s="416" t="s">
        <v>580</v>
      </c>
      <c r="P360" s="175">
        <v>0.81</v>
      </c>
      <c r="Q360" s="188" t="s">
        <v>241</v>
      </c>
      <c r="R360" s="415">
        <f>0.001*P360</f>
        <v>8.1000000000000006E-4</v>
      </c>
      <c r="S360" s="188"/>
      <c r="T360" s="188"/>
      <c r="U360" s="188"/>
    </row>
    <row r="361" spans="1:21">
      <c r="A361" s="88" t="s">
        <v>758</v>
      </c>
      <c r="B361" s="415">
        <f t="shared" si="36"/>
        <v>4.6000000000000001E-4</v>
      </c>
      <c r="C361" s="188" t="s">
        <v>37</v>
      </c>
      <c r="D361" s="188" t="s">
        <v>43</v>
      </c>
      <c r="E361" s="188" t="s">
        <v>44</v>
      </c>
      <c r="F361" s="188" t="s">
        <v>29</v>
      </c>
      <c r="G361" s="188" t="s">
        <v>45</v>
      </c>
      <c r="H361" s="188">
        <v>2</v>
      </c>
      <c r="I361" s="188">
        <f t="shared" si="35"/>
        <v>-7.6842840684811335</v>
      </c>
      <c r="J361" s="464">
        <v>0.10344080432788608</v>
      </c>
      <c r="K361" s="188" t="s">
        <v>31</v>
      </c>
      <c r="L361" s="188" t="s">
        <v>31</v>
      </c>
      <c r="M361" s="188" t="s">
        <v>31</v>
      </c>
      <c r="N361" s="188"/>
      <c r="O361" s="416" t="s">
        <v>580</v>
      </c>
      <c r="P361" s="175">
        <v>0.46</v>
      </c>
      <c r="Q361" s="188" t="s">
        <v>241</v>
      </c>
      <c r="R361" s="415">
        <f>0.001*P361</f>
        <v>4.6000000000000001E-4</v>
      </c>
      <c r="S361" s="188"/>
      <c r="T361" s="188"/>
      <c r="U361" s="188"/>
    </row>
    <row r="362" spans="1:21">
      <c r="A362" s="188" t="s">
        <v>790</v>
      </c>
      <c r="B362" s="415">
        <f>P362</f>
        <v>6.3E-3</v>
      </c>
      <c r="C362" s="188" t="s">
        <v>37</v>
      </c>
      <c r="D362" s="408" t="s">
        <v>2</v>
      </c>
      <c r="E362" s="188" t="s">
        <v>29</v>
      </c>
      <c r="F362" s="37" t="s">
        <v>74</v>
      </c>
      <c r="G362" s="188" t="s">
        <v>33</v>
      </c>
      <c r="H362" s="188">
        <v>2</v>
      </c>
      <c r="I362" s="188">
        <f t="shared" si="35"/>
        <v>-5.0672056455846501</v>
      </c>
      <c r="J362" s="188">
        <v>0.11269427669584645</v>
      </c>
      <c r="K362" s="188" t="s">
        <v>31</v>
      </c>
      <c r="L362" s="188" t="s">
        <v>31</v>
      </c>
      <c r="M362" s="188" t="s">
        <v>31</v>
      </c>
      <c r="N362" s="188"/>
      <c r="O362" s="418" t="s">
        <v>241</v>
      </c>
      <c r="P362" s="174">
        <v>6.3E-3</v>
      </c>
      <c r="Q362" s="188"/>
      <c r="R362" s="188"/>
      <c r="S362" s="188"/>
      <c r="T362" s="188"/>
      <c r="U362" s="188"/>
    </row>
    <row r="363" spans="1:21">
      <c r="P363" s="160"/>
    </row>
  </sheetData>
  <pageMargins left="0.7" right="0.7"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11BBC-5958-4FFD-9A4C-47F78702E715}">
  <sheetPr>
    <tabColor rgb="FFFFFF00"/>
  </sheetPr>
  <dimension ref="A1:AC57"/>
  <sheetViews>
    <sheetView topLeftCell="B1" workbookViewId="0">
      <selection activeCell="I13" sqref="I13:I30"/>
    </sheetView>
  </sheetViews>
  <sheetFormatPr defaultColWidth="9.140625" defaultRowHeight="12.95"/>
  <cols>
    <col min="1" max="1" width="100.5703125" style="188" customWidth="1"/>
    <col min="2" max="2" width="62" style="188" bestFit="1" customWidth="1"/>
    <col min="3" max="3" width="13.28515625" style="188" bestFit="1" customWidth="1"/>
    <col min="4" max="4" width="37.140625" style="188" bestFit="1" customWidth="1"/>
    <col min="5" max="5" width="11" style="188" bestFit="1" customWidth="1"/>
    <col min="6" max="6" width="23.85546875" style="188" bestFit="1" customWidth="1"/>
    <col min="7" max="7" width="13.42578125" style="188" bestFit="1" customWidth="1"/>
    <col min="8" max="8" width="17.7109375" style="188" bestFit="1" customWidth="1"/>
    <col min="9" max="9" width="7" style="188" bestFit="1" customWidth="1"/>
    <col min="10" max="10" width="12" style="188" bestFit="1" customWidth="1"/>
    <col min="11" max="13" width="10.85546875" style="188" bestFit="1" customWidth="1"/>
    <col min="14" max="23" width="9.140625" style="188"/>
    <col min="24" max="24" width="0" style="188" hidden="1" customWidth="1"/>
    <col min="25" max="16384" width="9.14062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21B789111C644BED98286087FD9930B4</v>
      </c>
    </row>
    <row r="2" spans="1:26">
      <c r="A2" s="370" t="s">
        <v>5</v>
      </c>
      <c r="B2" s="371" t="s">
        <v>777</v>
      </c>
      <c r="C2" s="372"/>
      <c r="D2" s="353"/>
      <c r="E2" s="353"/>
      <c r="F2" s="353"/>
      <c r="G2" s="353"/>
      <c r="H2" s="353"/>
      <c r="I2" s="353"/>
      <c r="J2" s="353"/>
      <c r="K2" s="353"/>
      <c r="L2" s="353"/>
      <c r="M2" s="353"/>
    </row>
    <row r="3" spans="1:26">
      <c r="A3" s="346" t="s">
        <v>7</v>
      </c>
      <c r="B3" s="188" t="s">
        <v>786</v>
      </c>
      <c r="C3" s="345"/>
    </row>
    <row r="4" spans="1:26">
      <c r="A4" s="346" t="s">
        <v>9</v>
      </c>
      <c r="B4" s="188" t="s">
        <v>1137</v>
      </c>
      <c r="C4" s="345"/>
    </row>
    <row r="5" spans="1:26" ht="26.1">
      <c r="A5" s="346" t="s">
        <v>11</v>
      </c>
      <c r="B5" s="347" t="s">
        <v>834</v>
      </c>
    </row>
    <row r="6" spans="1:26">
      <c r="A6" s="346" t="s">
        <v>13</v>
      </c>
      <c r="B6" s="188" t="s">
        <v>14</v>
      </c>
    </row>
    <row r="7" spans="1:26">
      <c r="A7" s="346" t="s">
        <v>15</v>
      </c>
      <c r="B7" s="188">
        <v>1</v>
      </c>
    </row>
    <row r="8" spans="1:26">
      <c r="A8" s="346" t="s">
        <v>16</v>
      </c>
      <c r="B8" s="188" t="s">
        <v>17</v>
      </c>
    </row>
    <row r="9" spans="1:26">
      <c r="A9" s="346" t="s">
        <v>18</v>
      </c>
      <c r="B9" s="188" t="s">
        <v>18</v>
      </c>
    </row>
    <row r="10" spans="1:26">
      <c r="A10" s="343" t="s">
        <v>19</v>
      </c>
    </row>
    <row r="11" spans="1:26">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26">
      <c r="A12" s="371" t="s">
        <v>777</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95" t="s">
        <v>794</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96" t="s">
        <v>968</v>
      </c>
      <c r="V13" s="396" t="s">
        <v>580</v>
      </c>
      <c r="W13" s="397">
        <v>78</v>
      </c>
      <c r="Y13" s="188" t="s">
        <v>241</v>
      </c>
      <c r="Z13" s="188">
        <f>0.001*W13</f>
        <v>7.8E-2</v>
      </c>
    </row>
    <row r="14" spans="1:26">
      <c r="A14" s="395" t="s">
        <v>819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96" t="s">
        <v>969</v>
      </c>
      <c r="V14" s="396" t="s">
        <v>580</v>
      </c>
      <c r="W14" s="397">
        <v>98</v>
      </c>
      <c r="Y14" s="188" t="s">
        <v>241</v>
      </c>
      <c r="Z14" s="188">
        <f>0.001*W14</f>
        <v>9.8000000000000004E-2</v>
      </c>
    </row>
    <row r="15" spans="1:26">
      <c r="A15" s="94" t="s">
        <v>835</v>
      </c>
      <c r="B15" s="188">
        <f t="shared" si="0"/>
        <v>2.0699999999999998</v>
      </c>
      <c r="C15" s="188" t="s">
        <v>37</v>
      </c>
      <c r="D15" s="188" t="s">
        <v>40</v>
      </c>
      <c r="E15" s="188" t="s">
        <v>29</v>
      </c>
      <c r="F15" s="37" t="s">
        <v>59</v>
      </c>
      <c r="G15" s="188" t="s">
        <v>33</v>
      </c>
      <c r="H15" s="188">
        <v>1</v>
      </c>
      <c r="I15" s="188">
        <f t="shared" si="1"/>
        <v>2.0699999999999998</v>
      </c>
      <c r="J15" s="188" t="s">
        <v>31</v>
      </c>
      <c r="K15" s="188" t="s">
        <v>31</v>
      </c>
      <c r="L15" s="188" t="s">
        <v>31</v>
      </c>
      <c r="M15" s="188" t="s">
        <v>31</v>
      </c>
      <c r="U15" s="396" t="s">
        <v>970</v>
      </c>
      <c r="V15" s="396" t="s">
        <v>241</v>
      </c>
      <c r="W15" s="397">
        <v>2.0699999999999998</v>
      </c>
      <c r="Y15" s="188" t="s">
        <v>241</v>
      </c>
      <c r="Z15" s="188">
        <f>W15</f>
        <v>2.0699999999999998</v>
      </c>
    </row>
    <row r="16" spans="1:26">
      <c r="A16" s="395" t="s">
        <v>1138</v>
      </c>
      <c r="B16" s="188">
        <f t="shared" si="0"/>
        <v>1.8</v>
      </c>
      <c r="C16" s="188" t="s">
        <v>37</v>
      </c>
      <c r="D16" s="188" t="s">
        <v>2</v>
      </c>
      <c r="E16" s="188" t="s">
        <v>29</v>
      </c>
      <c r="F16" s="37" t="s">
        <v>14</v>
      </c>
      <c r="G16" s="188" t="s">
        <v>33</v>
      </c>
      <c r="H16" s="188">
        <v>1</v>
      </c>
      <c r="I16" s="188">
        <f t="shared" si="1"/>
        <v>1.8</v>
      </c>
      <c r="J16" s="188" t="s">
        <v>31</v>
      </c>
      <c r="K16" s="188" t="s">
        <v>31</v>
      </c>
      <c r="L16" s="188" t="s">
        <v>31</v>
      </c>
      <c r="M16" s="188" t="s">
        <v>31</v>
      </c>
      <c r="U16" s="396" t="s">
        <v>972</v>
      </c>
      <c r="V16" s="396" t="s">
        <v>241</v>
      </c>
      <c r="W16" s="397">
        <v>1.8</v>
      </c>
      <c r="Y16" s="188" t="s">
        <v>241</v>
      </c>
      <c r="Z16" s="188">
        <f>W16</f>
        <v>1.8</v>
      </c>
    </row>
    <row r="17" spans="1:29" s="488" customFormat="1">
      <c r="A17" s="487" t="s">
        <v>1139</v>
      </c>
      <c r="B17" s="488">
        <f t="shared" si="0"/>
        <v>4.5370370370370366E-2</v>
      </c>
      <c r="C17" s="488" t="s">
        <v>609</v>
      </c>
      <c r="D17" s="488" t="s">
        <v>2</v>
      </c>
      <c r="E17" s="488" t="s">
        <v>29</v>
      </c>
      <c r="F17" s="15" t="s">
        <v>14</v>
      </c>
      <c r="G17" s="488" t="s">
        <v>33</v>
      </c>
      <c r="H17" s="188">
        <v>1</v>
      </c>
      <c r="I17" s="188">
        <f t="shared" si="1"/>
        <v>4.5370370370370366E-2</v>
      </c>
      <c r="J17" s="488" t="s">
        <v>31</v>
      </c>
      <c r="K17" s="488" t="s">
        <v>31</v>
      </c>
      <c r="L17" s="488" t="s">
        <v>31</v>
      </c>
      <c r="M17" s="488" t="s">
        <v>31</v>
      </c>
      <c r="O17" s="488" t="s">
        <v>974</v>
      </c>
      <c r="U17" s="489" t="s">
        <v>975</v>
      </c>
      <c r="V17" s="490" t="s">
        <v>580</v>
      </c>
      <c r="W17" s="491">
        <v>245</v>
      </c>
      <c r="Y17" s="488" t="s">
        <v>610</v>
      </c>
      <c r="Z17" s="488">
        <f>W17*0.001*AB17</f>
        <v>4.5370370370370366E-2</v>
      </c>
      <c r="AB17" s="488">
        <f>'2D. Reusable'!T36</f>
        <v>0.18518518518518517</v>
      </c>
      <c r="AC17" s="488" t="s">
        <v>838</v>
      </c>
    </row>
    <row r="18" spans="1:29">
      <c r="A18" s="395" t="s">
        <v>1140</v>
      </c>
      <c r="B18" s="188">
        <f t="shared" si="0"/>
        <v>0.81100000000000005</v>
      </c>
      <c r="C18" s="188" t="s">
        <v>37</v>
      </c>
      <c r="D18" s="188" t="s">
        <v>2</v>
      </c>
      <c r="E18" s="188" t="s">
        <v>29</v>
      </c>
      <c r="F18" s="37" t="s">
        <v>14</v>
      </c>
      <c r="G18" s="188" t="s">
        <v>33</v>
      </c>
      <c r="H18" s="188">
        <v>1</v>
      </c>
      <c r="I18" s="188">
        <f t="shared" si="1"/>
        <v>0.81100000000000005</v>
      </c>
      <c r="J18" s="188" t="s">
        <v>31</v>
      </c>
      <c r="K18" s="188" t="s">
        <v>31</v>
      </c>
      <c r="L18" s="188" t="s">
        <v>31</v>
      </c>
      <c r="M18" s="188" t="s">
        <v>31</v>
      </c>
      <c r="U18" s="459" t="s">
        <v>977</v>
      </c>
      <c r="V18" s="396" t="s">
        <v>580</v>
      </c>
      <c r="W18" s="397">
        <v>811</v>
      </c>
      <c r="Y18" s="188" t="s">
        <v>241</v>
      </c>
      <c r="Z18" s="188">
        <f>0.001*W18</f>
        <v>0.81100000000000005</v>
      </c>
    </row>
    <row r="19" spans="1:29">
      <c r="A19" s="130" t="s">
        <v>840</v>
      </c>
      <c r="B19" s="188">
        <f t="shared" si="0"/>
        <v>4.0000000000000001E-3</v>
      </c>
      <c r="C19" s="188" t="s">
        <v>37</v>
      </c>
      <c r="D19" s="188" t="s">
        <v>40</v>
      </c>
      <c r="E19" s="188" t="s">
        <v>29</v>
      </c>
      <c r="F19" s="37" t="s">
        <v>35</v>
      </c>
      <c r="G19" s="188" t="s">
        <v>33</v>
      </c>
      <c r="H19" s="188">
        <v>1</v>
      </c>
      <c r="I19" s="188">
        <f t="shared" si="1"/>
        <v>4.0000000000000001E-3</v>
      </c>
      <c r="J19" s="188" t="s">
        <v>31</v>
      </c>
      <c r="K19" s="188" t="s">
        <v>31</v>
      </c>
      <c r="L19" s="188" t="s">
        <v>31</v>
      </c>
      <c r="M19" s="188" t="s">
        <v>31</v>
      </c>
      <c r="N19" s="346" t="s">
        <v>841</v>
      </c>
      <c r="U19" s="396" t="s">
        <v>841</v>
      </c>
      <c r="V19" s="396" t="s">
        <v>580</v>
      </c>
      <c r="W19" s="397">
        <v>4</v>
      </c>
      <c r="Y19" s="188" t="s">
        <v>241</v>
      </c>
      <c r="Z19" s="188">
        <f>0.001*W19</f>
        <v>4.0000000000000001E-3</v>
      </c>
    </row>
    <row r="20" spans="1:29">
      <c r="A20" s="130" t="s">
        <v>179</v>
      </c>
      <c r="B20" s="188">
        <f t="shared" si="0"/>
        <v>2.5000000000000001E-2</v>
      </c>
      <c r="C20" s="188" t="s">
        <v>37</v>
      </c>
      <c r="D20" s="188" t="s">
        <v>40</v>
      </c>
      <c r="E20" s="188" t="s">
        <v>29</v>
      </c>
      <c r="F20" s="37" t="s">
        <v>35</v>
      </c>
      <c r="G20" s="188" t="s">
        <v>33</v>
      </c>
      <c r="H20" s="188">
        <v>1</v>
      </c>
      <c r="I20" s="188">
        <f t="shared" si="1"/>
        <v>2.5000000000000001E-2</v>
      </c>
      <c r="J20" s="188" t="s">
        <v>31</v>
      </c>
      <c r="K20" s="188" t="s">
        <v>31</v>
      </c>
      <c r="L20" s="188" t="s">
        <v>31</v>
      </c>
      <c r="M20" s="188" t="s">
        <v>31</v>
      </c>
      <c r="N20" s="346" t="s">
        <v>842</v>
      </c>
      <c r="U20" s="459" t="s">
        <v>842</v>
      </c>
      <c r="V20" s="396" t="s">
        <v>580</v>
      </c>
      <c r="W20" s="397">
        <v>25</v>
      </c>
      <c r="Y20" s="188" t="s">
        <v>241</v>
      </c>
      <c r="Z20" s="188">
        <f t="shared" ref="Z20:Z22" si="2">0.001*W20</f>
        <v>2.5000000000000001E-2</v>
      </c>
    </row>
    <row r="21" spans="1:29">
      <c r="A21" s="130" t="s">
        <v>840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46" t="s">
        <v>843</v>
      </c>
      <c r="U21" s="459" t="s">
        <v>843</v>
      </c>
      <c r="V21" s="396" t="s">
        <v>580</v>
      </c>
      <c r="W21" s="397">
        <v>2</v>
      </c>
      <c r="Y21" s="188" t="s">
        <v>241</v>
      </c>
      <c r="Z21" s="188">
        <f t="shared" si="2"/>
        <v>2E-3</v>
      </c>
    </row>
    <row r="22" spans="1:29">
      <c r="A22" s="130" t="s">
        <v>978</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46" t="s">
        <v>843</v>
      </c>
      <c r="U22" s="459" t="s">
        <v>843</v>
      </c>
      <c r="V22" s="396" t="s">
        <v>580</v>
      </c>
      <c r="W22" s="492">
        <v>2</v>
      </c>
      <c r="Y22" s="188" t="s">
        <v>241</v>
      </c>
      <c r="Z22" s="188">
        <f t="shared" si="2"/>
        <v>2E-3</v>
      </c>
    </row>
    <row r="23" spans="1:29">
      <c r="A23" s="94" t="s">
        <v>1141</v>
      </c>
      <c r="B23" s="188">
        <f t="shared" si="0"/>
        <v>1.17</v>
      </c>
      <c r="C23" s="188" t="s">
        <v>37</v>
      </c>
      <c r="D23" s="188" t="s">
        <v>2</v>
      </c>
      <c r="E23" s="188" t="s">
        <v>29</v>
      </c>
      <c r="F23" s="37" t="s">
        <v>14</v>
      </c>
      <c r="G23" s="188" t="s">
        <v>33</v>
      </c>
      <c r="H23" s="188">
        <v>1</v>
      </c>
      <c r="I23" s="188">
        <f t="shared" si="1"/>
        <v>1.17</v>
      </c>
      <c r="J23" s="188" t="s">
        <v>31</v>
      </c>
      <c r="K23" s="188" t="s">
        <v>31</v>
      </c>
      <c r="L23" s="188" t="s">
        <v>31</v>
      </c>
      <c r="M23" s="188" t="s">
        <v>31</v>
      </c>
      <c r="N23" s="346" t="s">
        <v>980</v>
      </c>
      <c r="U23" s="396" t="s">
        <v>980</v>
      </c>
      <c r="V23" s="396" t="s">
        <v>241</v>
      </c>
      <c r="W23" s="397">
        <v>1.17</v>
      </c>
      <c r="Y23" s="188" t="s">
        <v>241</v>
      </c>
      <c r="Z23" s="188">
        <f>W23</f>
        <v>1.17</v>
      </c>
    </row>
    <row r="24" spans="1:29">
      <c r="A24" s="395" t="s">
        <v>1142</v>
      </c>
      <c r="B24" s="358">
        <f>'2D. Machined casing'!B7</f>
        <v>5.25</v>
      </c>
      <c r="C24" s="188" t="s">
        <v>37</v>
      </c>
      <c r="D24" s="188" t="s">
        <v>2</v>
      </c>
      <c r="E24" s="188" t="s">
        <v>29</v>
      </c>
      <c r="F24" s="37" t="s">
        <v>14</v>
      </c>
      <c r="G24" s="188" t="s">
        <v>33</v>
      </c>
      <c r="H24" s="188">
        <v>1</v>
      </c>
      <c r="I24" s="188">
        <f t="shared" si="1"/>
        <v>5.25</v>
      </c>
      <c r="J24" s="188" t="s">
        <v>31</v>
      </c>
      <c r="K24" s="188" t="s">
        <v>31</v>
      </c>
      <c r="L24" s="188" t="s">
        <v>31</v>
      </c>
      <c r="M24" s="188" t="s">
        <v>31</v>
      </c>
      <c r="N24" s="346" t="s">
        <v>846</v>
      </c>
      <c r="U24" s="396" t="s">
        <v>982</v>
      </c>
      <c r="V24" s="400" t="s">
        <v>241</v>
      </c>
      <c r="W24" s="397">
        <v>5.3</v>
      </c>
      <c r="Y24" s="188" t="s">
        <v>241</v>
      </c>
      <c r="Z24" s="188">
        <f>W24</f>
        <v>5.3</v>
      </c>
    </row>
    <row r="25" spans="1:29">
      <c r="A25" s="130" t="s">
        <v>848</v>
      </c>
      <c r="B25" s="188">
        <f t="shared" si="0"/>
        <v>3.5000000000000003E-2</v>
      </c>
      <c r="C25" s="188" t="s">
        <v>37</v>
      </c>
      <c r="D25" s="188" t="s">
        <v>40</v>
      </c>
      <c r="E25" s="188" t="s">
        <v>29</v>
      </c>
      <c r="F25" s="37" t="s">
        <v>82</v>
      </c>
      <c r="G25" s="188" t="s">
        <v>33</v>
      </c>
      <c r="H25" s="188">
        <v>1</v>
      </c>
      <c r="I25" s="188">
        <f t="shared" si="1"/>
        <v>3.5000000000000003E-2</v>
      </c>
      <c r="J25" s="188" t="s">
        <v>31</v>
      </c>
      <c r="K25" s="188" t="s">
        <v>31</v>
      </c>
      <c r="L25" s="188" t="s">
        <v>31</v>
      </c>
      <c r="M25" s="188" t="s">
        <v>31</v>
      </c>
      <c r="N25" s="346" t="s">
        <v>849</v>
      </c>
      <c r="U25" s="401" t="s">
        <v>849</v>
      </c>
      <c r="V25" s="401" t="s">
        <v>580</v>
      </c>
      <c r="W25" s="402">
        <v>35</v>
      </c>
      <c r="Y25" s="188" t="s">
        <v>241</v>
      </c>
      <c r="Z25" s="188">
        <f t="shared" ref="Z25:Z27" si="3">0.001*W25</f>
        <v>3.5000000000000003E-2</v>
      </c>
    </row>
    <row r="26" spans="1:29">
      <c r="A26" s="130" t="s">
        <v>850</v>
      </c>
      <c r="B26" s="188">
        <f t="shared" si="0"/>
        <v>7.0000000000000001E-3</v>
      </c>
      <c r="C26" s="188" t="s">
        <v>37</v>
      </c>
      <c r="D26" s="188" t="s">
        <v>40</v>
      </c>
      <c r="E26" s="188" t="s">
        <v>29</v>
      </c>
      <c r="F26" s="37" t="s">
        <v>59</v>
      </c>
      <c r="G26" s="188" t="s">
        <v>33</v>
      </c>
      <c r="H26" s="188">
        <v>1</v>
      </c>
      <c r="I26" s="188">
        <f t="shared" si="1"/>
        <v>7.0000000000000001E-3</v>
      </c>
      <c r="J26" s="188" t="s">
        <v>31</v>
      </c>
      <c r="K26" s="188" t="s">
        <v>31</v>
      </c>
      <c r="L26" s="188" t="s">
        <v>31</v>
      </c>
      <c r="M26" s="188" t="s">
        <v>31</v>
      </c>
      <c r="N26" s="188" t="s">
        <v>851</v>
      </c>
      <c r="U26" s="401" t="s">
        <v>851</v>
      </c>
      <c r="V26" s="401" t="s">
        <v>580</v>
      </c>
      <c r="W26" s="402">
        <v>7</v>
      </c>
      <c r="Y26" s="188" t="s">
        <v>241</v>
      </c>
      <c r="Z26" s="188">
        <f t="shared" si="3"/>
        <v>7.0000000000000001E-3</v>
      </c>
    </row>
    <row r="27" spans="1:29">
      <c r="A27" s="130" t="s">
        <v>179</v>
      </c>
      <c r="B27" s="188">
        <f t="shared" si="0"/>
        <v>7.0000000000000001E-3</v>
      </c>
      <c r="C27" s="188" t="s">
        <v>37</v>
      </c>
      <c r="D27" s="188" t="s">
        <v>40</v>
      </c>
      <c r="E27" s="188" t="s">
        <v>29</v>
      </c>
      <c r="F27" s="37" t="s">
        <v>35</v>
      </c>
      <c r="G27" s="188" t="s">
        <v>33</v>
      </c>
      <c r="H27" s="188">
        <v>1</v>
      </c>
      <c r="I27" s="188">
        <f t="shared" si="1"/>
        <v>7.0000000000000001E-3</v>
      </c>
      <c r="J27" s="188" t="s">
        <v>31</v>
      </c>
      <c r="K27" s="188" t="s">
        <v>31</v>
      </c>
      <c r="L27" s="188" t="s">
        <v>31</v>
      </c>
      <c r="M27" s="188" t="s">
        <v>31</v>
      </c>
      <c r="N27" s="188" t="s">
        <v>852</v>
      </c>
      <c r="U27" s="401" t="s">
        <v>852</v>
      </c>
      <c r="V27" s="401" t="s">
        <v>580</v>
      </c>
      <c r="W27" s="402">
        <v>7</v>
      </c>
      <c r="Y27" s="188" t="s">
        <v>241</v>
      </c>
      <c r="Z27" s="188">
        <f t="shared" si="3"/>
        <v>7.0000000000000001E-3</v>
      </c>
    </row>
    <row r="28" spans="1:29">
      <c r="A28" s="460" t="s">
        <v>269</v>
      </c>
      <c r="B28" s="188">
        <f>0.6+0.7</f>
        <v>1.2999999999999998</v>
      </c>
      <c r="C28" s="188" t="s">
        <v>39</v>
      </c>
      <c r="D28" s="188" t="s">
        <v>40</v>
      </c>
      <c r="E28" s="188" t="s">
        <v>29</v>
      </c>
      <c r="F28" s="188" t="s">
        <v>14</v>
      </c>
      <c r="G28" s="188" t="s">
        <v>33</v>
      </c>
      <c r="H28" s="188">
        <v>1</v>
      </c>
      <c r="I28" s="188">
        <f t="shared" si="1"/>
        <v>1.2999999999999998</v>
      </c>
      <c r="J28" s="188" t="s">
        <v>31</v>
      </c>
      <c r="K28" s="188" t="s">
        <v>31</v>
      </c>
      <c r="L28" s="188" t="s">
        <v>31</v>
      </c>
      <c r="M28" s="188" t="s">
        <v>31</v>
      </c>
      <c r="N28" s="188" t="s">
        <v>983</v>
      </c>
      <c r="U28" s="396"/>
      <c r="V28" s="400"/>
      <c r="W28" s="397"/>
    </row>
    <row r="29" spans="1:29">
      <c r="A29" s="460" t="s">
        <v>269</v>
      </c>
      <c r="B29" s="188">
        <v>2.8</v>
      </c>
      <c r="C29" s="188" t="s">
        <v>39</v>
      </c>
      <c r="D29" s="188" t="s">
        <v>40</v>
      </c>
      <c r="E29" s="188" t="s">
        <v>29</v>
      </c>
      <c r="F29" s="188" t="s">
        <v>14</v>
      </c>
      <c r="G29" s="188" t="s">
        <v>33</v>
      </c>
      <c r="H29" s="188">
        <v>1</v>
      </c>
      <c r="I29" s="188">
        <f t="shared" si="1"/>
        <v>2.8</v>
      </c>
      <c r="J29" s="188" t="s">
        <v>31</v>
      </c>
      <c r="K29" s="188" t="s">
        <v>31</v>
      </c>
      <c r="L29" s="188" t="s">
        <v>31</v>
      </c>
      <c r="M29" s="188" t="s">
        <v>31</v>
      </c>
      <c r="N29" s="188" t="s">
        <v>854</v>
      </c>
    </row>
    <row r="30" spans="1:29">
      <c r="A30" s="460" t="s">
        <v>269</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855</v>
      </c>
    </row>
    <row r="31" spans="1:29">
      <c r="A31" s="370"/>
      <c r="B31" s="371"/>
      <c r="C31" s="372"/>
      <c r="D31" s="353"/>
      <c r="E31" s="353"/>
      <c r="F31" s="353"/>
      <c r="G31" s="353"/>
      <c r="H31" s="353"/>
      <c r="I31" s="353"/>
      <c r="J31" s="353"/>
      <c r="K31" s="353"/>
      <c r="L31" s="353"/>
      <c r="M31" s="353"/>
    </row>
    <row r="32" spans="1:29">
      <c r="A32" s="346"/>
      <c r="C32" s="345"/>
      <c r="N32" s="408" t="s">
        <v>1143</v>
      </c>
    </row>
    <row r="33" spans="1:14">
      <c r="A33" s="346"/>
      <c r="C33" s="345"/>
      <c r="N33" s="408">
        <f>SUM(B13:B27)-B17+0.245</f>
        <v>11.603999999999997</v>
      </c>
    </row>
    <row r="34" spans="1:14">
      <c r="A34" s="346"/>
      <c r="B34" s="347"/>
    </row>
    <row r="36" spans="1:14">
      <c r="A36" s="346"/>
    </row>
    <row r="38" spans="1:14">
      <c r="A38" s="192"/>
      <c r="B38" s="420"/>
      <c r="F38" s="37"/>
    </row>
    <row r="39" spans="1:14">
      <c r="A39" s="343"/>
    </row>
    <row r="40" spans="1:14">
      <c r="A40" s="343"/>
      <c r="B40" s="344"/>
      <c r="C40" s="344"/>
      <c r="D40" s="344"/>
      <c r="E40" s="344"/>
      <c r="F40" s="344"/>
      <c r="G40" s="344"/>
      <c r="H40" s="344"/>
      <c r="I40" s="344"/>
      <c r="J40" s="344"/>
      <c r="K40" s="344"/>
      <c r="L40" s="344"/>
      <c r="M40" s="344"/>
      <c r="N40" s="344"/>
    </row>
    <row r="41" spans="1:14">
      <c r="A41" s="346"/>
      <c r="F41" s="37"/>
    </row>
    <row r="42" spans="1:14">
      <c r="A42" s="346"/>
      <c r="F42" s="37"/>
    </row>
    <row r="43" spans="1:14">
      <c r="A43" s="346"/>
      <c r="F43" s="37"/>
    </row>
    <row r="44" spans="1:14">
      <c r="A44" s="346"/>
      <c r="F44" s="37"/>
    </row>
    <row r="45" spans="1:14">
      <c r="A45" s="346"/>
      <c r="F45" s="37"/>
    </row>
    <row r="46" spans="1:14">
      <c r="A46" s="346"/>
      <c r="F46" s="37"/>
    </row>
    <row r="47" spans="1:14">
      <c r="A47" s="346"/>
      <c r="F47" s="37"/>
    </row>
    <row r="48" spans="1:14">
      <c r="A48" s="346"/>
      <c r="F48" s="37"/>
    </row>
    <row r="49" spans="1:6">
      <c r="A49" s="346"/>
      <c r="F49" s="37"/>
    </row>
    <row r="50" spans="1:6">
      <c r="A50" s="346"/>
      <c r="F50" s="37"/>
    </row>
    <row r="51" spans="1:6">
      <c r="A51" s="346"/>
      <c r="F51" s="37"/>
    </row>
    <row r="52" spans="1:6">
      <c r="A52" s="346"/>
      <c r="F52" s="37"/>
    </row>
    <row r="53" spans="1:6">
      <c r="A53" s="346"/>
      <c r="F53" s="37"/>
    </row>
    <row r="54" spans="1:6">
      <c r="A54" s="346"/>
      <c r="F54" s="37"/>
    </row>
    <row r="55" spans="1:6">
      <c r="F55" s="37"/>
    </row>
    <row r="57" spans="1:6">
      <c r="A57" s="346"/>
    </row>
  </sheetData>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2E8E7-89F0-49CC-8692-87A2DF83D4DE}">
  <sheetPr>
    <tabColor rgb="FFFFFF00"/>
  </sheetPr>
  <dimension ref="A1:U104"/>
  <sheetViews>
    <sheetView topLeftCell="A65" zoomScale="85" zoomScaleNormal="85" workbookViewId="0">
      <selection activeCell="A12" sqref="A12"/>
    </sheetView>
  </sheetViews>
  <sheetFormatPr defaultColWidth="9.140625" defaultRowHeight="12.95"/>
  <cols>
    <col min="1" max="1" width="52.42578125" style="381" customWidth="1"/>
    <col min="2" max="2" width="17.5703125" style="188" customWidth="1"/>
    <col min="3" max="3" width="13.7109375" style="188" customWidth="1"/>
    <col min="4" max="4" width="39.85546875" style="188" customWidth="1"/>
    <col min="5" max="6" width="9.140625" style="188"/>
    <col min="7" max="7" width="14.85546875" style="188" customWidth="1"/>
    <col min="8" max="15" width="9.140625" style="188"/>
    <col min="16" max="16" width="12.140625" style="188" customWidth="1"/>
    <col min="17" max="16384" width="9.140625" style="188"/>
  </cols>
  <sheetData>
    <row r="1" spans="1:21">
      <c r="A1" s="188" t="s">
        <v>0</v>
      </c>
      <c r="B1" s="188">
        <v>13</v>
      </c>
    </row>
    <row r="2" spans="1:21">
      <c r="A2" s="404" t="s">
        <v>5</v>
      </c>
      <c r="B2" s="106" t="s">
        <v>1139</v>
      </c>
      <c r="C2" s="372"/>
      <c r="D2" s="353"/>
      <c r="E2" s="353"/>
      <c r="F2" s="353"/>
      <c r="G2" s="353"/>
      <c r="H2" s="353"/>
      <c r="I2" s="353"/>
      <c r="J2" s="353"/>
      <c r="K2" s="353"/>
      <c r="L2" s="353"/>
      <c r="M2" s="353"/>
      <c r="N2" s="353"/>
      <c r="O2" s="353"/>
      <c r="P2" s="353"/>
      <c r="Q2" s="353"/>
      <c r="R2" s="353"/>
    </row>
    <row r="3" spans="1:21">
      <c r="A3" s="406" t="s">
        <v>7</v>
      </c>
      <c r="B3" s="188" t="s">
        <v>786</v>
      </c>
      <c r="C3" s="345"/>
    </row>
    <row r="4" spans="1:21">
      <c r="A4" s="406" t="s">
        <v>9</v>
      </c>
      <c r="B4" s="381" t="s">
        <v>1144</v>
      </c>
      <c r="C4" s="345"/>
      <c r="U4" s="389"/>
    </row>
    <row r="5" spans="1:21" ht="12.75" customHeight="1">
      <c r="A5" s="406" t="s">
        <v>11</v>
      </c>
      <c r="B5" s="347" t="s">
        <v>796</v>
      </c>
    </row>
    <row r="6" spans="1:21">
      <c r="A6" s="406" t="s">
        <v>13</v>
      </c>
      <c r="B6" s="188" t="s">
        <v>14</v>
      </c>
    </row>
    <row r="7" spans="1:21">
      <c r="A7" s="406" t="s">
        <v>15</v>
      </c>
      <c r="B7" s="188">
        <f>B12</f>
        <v>8.0000000000000002E-3</v>
      </c>
    </row>
    <row r="8" spans="1:21">
      <c r="A8" s="406" t="s">
        <v>16</v>
      </c>
      <c r="B8" s="188" t="s">
        <v>17</v>
      </c>
    </row>
    <row r="9" spans="1:21">
      <c r="A9" s="406" t="s">
        <v>18</v>
      </c>
      <c r="B9" s="188" t="s">
        <v>609</v>
      </c>
    </row>
    <row r="10" spans="1:21">
      <c r="A10" s="407" t="s">
        <v>19</v>
      </c>
    </row>
    <row r="11" spans="1:21">
      <c r="A11" s="407"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21">
      <c r="A12" s="381" t="s">
        <v>1139</v>
      </c>
      <c r="B12" s="188">
        <v>8.0000000000000002E-3</v>
      </c>
      <c r="C12" s="188" t="s">
        <v>609</v>
      </c>
      <c r="D12" s="408" t="s">
        <v>2</v>
      </c>
      <c r="E12" s="188" t="s">
        <v>29</v>
      </c>
      <c r="F12" s="37" t="s">
        <v>14</v>
      </c>
      <c r="G12" s="188" t="s">
        <v>30</v>
      </c>
      <c r="H12" s="188">
        <v>1</v>
      </c>
      <c r="I12" s="188">
        <f>B12</f>
        <v>8.0000000000000002E-3</v>
      </c>
      <c r="J12" s="188" t="s">
        <v>31</v>
      </c>
      <c r="K12" s="188" t="s">
        <v>31</v>
      </c>
      <c r="L12" s="188" t="s">
        <v>31</v>
      </c>
      <c r="M12" s="188" t="s">
        <v>31</v>
      </c>
      <c r="O12" s="409" t="s">
        <v>1145</v>
      </c>
      <c r="P12" s="410"/>
    </row>
    <row r="13" spans="1:21">
      <c r="A13" s="381" t="s">
        <v>1146</v>
      </c>
      <c r="B13" s="188">
        <f>Q13</f>
        <v>4.3200000000000002E-2</v>
      </c>
      <c r="C13" s="188" t="s">
        <v>37</v>
      </c>
      <c r="D13" s="408" t="s">
        <v>2</v>
      </c>
      <c r="E13" s="188" t="s">
        <v>29</v>
      </c>
      <c r="F13" s="37" t="s">
        <v>14</v>
      </c>
      <c r="G13" s="188" t="s">
        <v>33</v>
      </c>
      <c r="H13" s="188">
        <v>1</v>
      </c>
      <c r="I13" s="188">
        <f t="shared" ref="I13:I14" si="0">B13</f>
        <v>4.3200000000000002E-2</v>
      </c>
      <c r="J13" s="188" t="s">
        <v>31</v>
      </c>
      <c r="K13" s="188" t="s">
        <v>31</v>
      </c>
      <c r="L13" s="188" t="s">
        <v>31</v>
      </c>
      <c r="M13" s="188" t="s">
        <v>31</v>
      </c>
      <c r="O13" s="188">
        <f>0.05/0.27</f>
        <v>0.18518518518518517</v>
      </c>
      <c r="P13" s="188" t="s">
        <v>838</v>
      </c>
      <c r="Q13" s="188">
        <f>B12/O13</f>
        <v>4.3200000000000002E-2</v>
      </c>
    </row>
    <row r="14" spans="1:21">
      <c r="A14" s="381" t="s">
        <v>1147</v>
      </c>
      <c r="B14" s="188">
        <v>8.9999999999999993E-3</v>
      </c>
      <c r="C14" s="188" t="s">
        <v>609</v>
      </c>
      <c r="D14" s="408" t="s">
        <v>2</v>
      </c>
      <c r="E14" s="188" t="s">
        <v>29</v>
      </c>
      <c r="F14" s="37" t="s">
        <v>14</v>
      </c>
      <c r="G14" s="188" t="s">
        <v>33</v>
      </c>
      <c r="H14" s="188">
        <v>1</v>
      </c>
      <c r="I14" s="188">
        <f t="shared" si="0"/>
        <v>8.9999999999999993E-3</v>
      </c>
      <c r="J14" s="188" t="s">
        <v>31</v>
      </c>
      <c r="K14" s="188" t="s">
        <v>31</v>
      </c>
      <c r="L14" s="188" t="s">
        <v>31</v>
      </c>
      <c r="M14" s="188" t="s">
        <v>31</v>
      </c>
    </row>
    <row r="15" spans="1:21">
      <c r="A15" s="112" t="s">
        <v>799</v>
      </c>
      <c r="B15" s="188">
        <f>P15</f>
        <v>7.0000000000000007E-2</v>
      </c>
      <c r="C15" s="188" t="s">
        <v>37</v>
      </c>
      <c r="D15" s="188" t="s">
        <v>40</v>
      </c>
      <c r="E15" s="188" t="s">
        <v>29</v>
      </c>
      <c r="F15" s="37" t="s">
        <v>74</v>
      </c>
      <c r="G15" s="188" t="s">
        <v>33</v>
      </c>
      <c r="H15" s="188">
        <v>2</v>
      </c>
      <c r="I15" s="188">
        <f>LN(B15)</f>
        <v>-2.6592600369327779</v>
      </c>
      <c r="J15" s="464">
        <v>0.11236102527122109</v>
      </c>
      <c r="K15" s="188" t="s">
        <v>31</v>
      </c>
      <c r="L15" s="188" t="s">
        <v>31</v>
      </c>
      <c r="M15" s="188" t="s">
        <v>31</v>
      </c>
      <c r="O15" s="401" t="s">
        <v>241</v>
      </c>
      <c r="P15" s="414">
        <v>7.0000000000000007E-2</v>
      </c>
    </row>
    <row r="16" spans="1:21">
      <c r="A16" s="112" t="s">
        <v>862</v>
      </c>
      <c r="B16" s="415">
        <f>Q16</f>
        <v>3.3999999999999998E-9</v>
      </c>
      <c r="C16" s="188" t="s">
        <v>37</v>
      </c>
      <c r="D16" s="188" t="s">
        <v>40</v>
      </c>
      <c r="E16" s="188" t="s">
        <v>29</v>
      </c>
      <c r="F16" s="37" t="s">
        <v>59</v>
      </c>
      <c r="G16" s="188" t="s">
        <v>33</v>
      </c>
      <c r="H16" s="188">
        <v>2</v>
      </c>
      <c r="I16" s="188">
        <f t="shared" ref="I16:I17" si="1">LN(B16)</f>
        <v>-19.499490405324295</v>
      </c>
      <c r="J16" s="464">
        <v>0.11236102527122109</v>
      </c>
      <c r="K16" s="188" t="s">
        <v>31</v>
      </c>
      <c r="L16" s="188" t="s">
        <v>31</v>
      </c>
      <c r="M16" s="188" t="s">
        <v>31</v>
      </c>
      <c r="O16" s="416" t="s">
        <v>538</v>
      </c>
      <c r="P16" s="417">
        <v>3.3999999999999998E-3</v>
      </c>
      <c r="Q16" s="415">
        <f>P16*10^(-6)</f>
        <v>3.3999999999999998E-9</v>
      </c>
      <c r="R16" s="188" t="s">
        <v>37</v>
      </c>
    </row>
    <row r="17" spans="1:18">
      <c r="A17" s="112" t="s">
        <v>76</v>
      </c>
      <c r="B17" s="188">
        <f>Q17</f>
        <v>7.0000000000000007E-5</v>
      </c>
      <c r="C17" s="188" t="s">
        <v>42</v>
      </c>
      <c r="D17" s="188" t="s">
        <v>40</v>
      </c>
      <c r="E17" s="188" t="s">
        <v>29</v>
      </c>
      <c r="F17" s="37" t="s">
        <v>74</v>
      </c>
      <c r="G17" s="188" t="s">
        <v>33</v>
      </c>
      <c r="H17" s="188">
        <v>2</v>
      </c>
      <c r="I17" s="188">
        <f t="shared" si="1"/>
        <v>-9.5670153159149152</v>
      </c>
      <c r="J17" s="464">
        <v>0.11236102527122109</v>
      </c>
      <c r="K17" s="188" t="s">
        <v>31</v>
      </c>
      <c r="L17" s="188" t="s">
        <v>31</v>
      </c>
      <c r="M17" s="188" t="s">
        <v>31</v>
      </c>
      <c r="O17" s="418" t="s">
        <v>863</v>
      </c>
      <c r="P17" s="419">
        <v>7.0000000000000007E-2</v>
      </c>
      <c r="Q17" s="188">
        <f>P17/1000</f>
        <v>7.0000000000000007E-5</v>
      </c>
      <c r="R17" s="188" t="s">
        <v>864</v>
      </c>
    </row>
    <row r="18" spans="1:18">
      <c r="A18" s="404" t="s">
        <v>5</v>
      </c>
      <c r="B18" s="106" t="s">
        <v>1146</v>
      </c>
      <c r="C18" s="372"/>
      <c r="D18" s="353"/>
      <c r="E18" s="353"/>
      <c r="F18" s="353"/>
      <c r="G18" s="353"/>
      <c r="H18" s="353"/>
      <c r="I18" s="353"/>
      <c r="J18" s="353"/>
      <c r="K18" s="353"/>
      <c r="L18" s="353"/>
      <c r="M18" s="353"/>
      <c r="N18" s="353"/>
      <c r="O18" s="353"/>
      <c r="P18" s="353"/>
      <c r="Q18" s="353"/>
      <c r="R18" s="353"/>
    </row>
    <row r="19" spans="1:18">
      <c r="A19" s="406" t="s">
        <v>7</v>
      </c>
      <c r="B19" s="188" t="s">
        <v>786</v>
      </c>
      <c r="C19" s="345"/>
    </row>
    <row r="20" spans="1:18">
      <c r="A20" s="406" t="s">
        <v>9</v>
      </c>
      <c r="B20" s="188" t="s">
        <v>1148</v>
      </c>
      <c r="C20" s="345"/>
    </row>
    <row r="21" spans="1:18" ht="10.5" customHeight="1">
      <c r="A21" s="406" t="s">
        <v>11</v>
      </c>
      <c r="B21" s="347" t="s">
        <v>796</v>
      </c>
      <c r="P21" s="421"/>
    </row>
    <row r="22" spans="1:18">
      <c r="A22" s="406" t="s">
        <v>13</v>
      </c>
      <c r="B22" s="188" t="s">
        <v>14</v>
      </c>
      <c r="P22" s="421"/>
    </row>
    <row r="23" spans="1:18">
      <c r="A23" s="406" t="s">
        <v>15</v>
      </c>
      <c r="B23" s="188">
        <f>B28</f>
        <v>6.0000000000000001E-3</v>
      </c>
      <c r="P23" s="421"/>
    </row>
    <row r="24" spans="1:18">
      <c r="A24" s="406" t="s">
        <v>16</v>
      </c>
      <c r="B24" s="188" t="s">
        <v>17</v>
      </c>
    </row>
    <row r="25" spans="1:18">
      <c r="A25" s="406" t="s">
        <v>18</v>
      </c>
      <c r="B25" s="188" t="s">
        <v>37</v>
      </c>
    </row>
    <row r="26" spans="1:18">
      <c r="A26" s="407" t="s">
        <v>19</v>
      </c>
    </row>
    <row r="27" spans="1:18">
      <c r="A27" s="407"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row>
    <row r="28" spans="1:18">
      <c r="A28" s="381" t="s">
        <v>1146</v>
      </c>
      <c r="B28" s="188">
        <v>6.0000000000000001E-3</v>
      </c>
      <c r="C28" s="188" t="s">
        <v>37</v>
      </c>
      <c r="D28" s="408" t="s">
        <v>2</v>
      </c>
      <c r="E28" s="188" t="s">
        <v>29</v>
      </c>
      <c r="F28" s="37" t="s">
        <v>14</v>
      </c>
      <c r="G28" s="188" t="s">
        <v>30</v>
      </c>
      <c r="H28" s="188">
        <v>1</v>
      </c>
      <c r="I28" s="188">
        <f>B28</f>
        <v>6.0000000000000001E-3</v>
      </c>
      <c r="J28" s="188" t="s">
        <v>31</v>
      </c>
      <c r="K28" s="188" t="s">
        <v>31</v>
      </c>
      <c r="L28" s="188" t="s">
        <v>31</v>
      </c>
      <c r="M28" s="188" t="s">
        <v>31</v>
      </c>
    </row>
    <row r="29" spans="1:18">
      <c r="A29" s="112" t="s">
        <v>862</v>
      </c>
      <c r="B29" s="415">
        <f>R29</f>
        <v>6.2000000000000006E-3</v>
      </c>
      <c r="C29" s="188" t="s">
        <v>37</v>
      </c>
      <c r="D29" s="188" t="s">
        <v>40</v>
      </c>
      <c r="E29" s="188" t="s">
        <v>29</v>
      </c>
      <c r="F29" s="37" t="s">
        <v>59</v>
      </c>
      <c r="G29" s="188" t="s">
        <v>33</v>
      </c>
      <c r="H29" s="188">
        <v>2</v>
      </c>
      <c r="I29" s="188">
        <f t="shared" ref="I29:I31" si="2">LN(B29)</f>
        <v>-5.083205986931091</v>
      </c>
      <c r="J29" s="464">
        <v>0.11236102527122109</v>
      </c>
      <c r="K29" s="188" t="s">
        <v>31</v>
      </c>
      <c r="L29" s="188" t="s">
        <v>31</v>
      </c>
      <c r="M29" s="188" t="s">
        <v>31</v>
      </c>
      <c r="O29" s="401" t="s">
        <v>580</v>
      </c>
      <c r="P29" s="414">
        <v>6.2</v>
      </c>
      <c r="Q29" s="188" t="s">
        <v>241</v>
      </c>
      <c r="R29" s="188">
        <f>P29*0.001</f>
        <v>6.2000000000000006E-3</v>
      </c>
    </row>
    <row r="30" spans="1:18">
      <c r="A30" s="406" t="s">
        <v>269</v>
      </c>
      <c r="B30" s="350">
        <f>P30</f>
        <v>0.03</v>
      </c>
      <c r="C30" s="188" t="s">
        <v>39</v>
      </c>
      <c r="D30" s="188" t="s">
        <v>40</v>
      </c>
      <c r="E30" s="188" t="s">
        <v>29</v>
      </c>
      <c r="F30" s="37" t="s">
        <v>35</v>
      </c>
      <c r="G30" s="188" t="s">
        <v>33</v>
      </c>
      <c r="H30" s="188">
        <v>2</v>
      </c>
      <c r="I30" s="188">
        <f t="shared" si="2"/>
        <v>-3.5065578973199818</v>
      </c>
      <c r="J30" s="464">
        <v>0.11236102527122109</v>
      </c>
      <c r="K30" s="188" t="s">
        <v>31</v>
      </c>
      <c r="L30" s="188" t="s">
        <v>31</v>
      </c>
      <c r="M30" s="188" t="s">
        <v>31</v>
      </c>
      <c r="O30" s="401" t="s">
        <v>248</v>
      </c>
      <c r="P30" s="414">
        <v>0.03</v>
      </c>
    </row>
    <row r="31" spans="1:18">
      <c r="A31" s="112" t="s">
        <v>866</v>
      </c>
      <c r="B31" s="188">
        <f>R31</f>
        <v>2.9999999999999997E-4</v>
      </c>
      <c r="C31" s="188" t="s">
        <v>37</v>
      </c>
      <c r="D31" s="188" t="s">
        <v>43</v>
      </c>
      <c r="E31" s="188" t="s">
        <v>867</v>
      </c>
      <c r="F31" s="37" t="s">
        <v>29</v>
      </c>
      <c r="G31" s="188" t="s">
        <v>45</v>
      </c>
      <c r="H31" s="188">
        <v>2</v>
      </c>
      <c r="I31" s="188">
        <f t="shared" si="2"/>
        <v>-8.1117280833080727</v>
      </c>
      <c r="J31" s="464">
        <v>0.11236102527122109</v>
      </c>
      <c r="K31" s="188" t="s">
        <v>31</v>
      </c>
      <c r="L31" s="188" t="s">
        <v>31</v>
      </c>
      <c r="M31" s="188" t="s">
        <v>31</v>
      </c>
      <c r="O31" s="418" t="s">
        <v>580</v>
      </c>
      <c r="P31" s="419">
        <v>0.3</v>
      </c>
      <c r="Q31" s="188" t="s">
        <v>241</v>
      </c>
      <c r="R31" s="188">
        <f>P31*0.001</f>
        <v>2.9999999999999997E-4</v>
      </c>
    </row>
    <row r="32" spans="1:18">
      <c r="A32" s="404" t="s">
        <v>5</v>
      </c>
      <c r="B32" s="371" t="s">
        <v>1147</v>
      </c>
      <c r="C32" s="372"/>
      <c r="D32" s="353"/>
      <c r="E32" s="353"/>
      <c r="F32" s="353"/>
      <c r="G32" s="353"/>
      <c r="H32" s="353"/>
      <c r="I32" s="353"/>
      <c r="J32" s="353"/>
      <c r="K32" s="353"/>
      <c r="L32" s="353"/>
      <c r="M32" s="353"/>
      <c r="N32" s="353"/>
      <c r="O32" s="353"/>
      <c r="P32" s="353"/>
      <c r="Q32" s="353"/>
      <c r="R32" s="353"/>
    </row>
    <row r="33" spans="1:21">
      <c r="A33" s="406" t="s">
        <v>7</v>
      </c>
      <c r="B33" s="188" t="s">
        <v>786</v>
      </c>
      <c r="C33" s="345"/>
    </row>
    <row r="34" spans="1:21">
      <c r="A34" s="406" t="s">
        <v>9</v>
      </c>
      <c r="B34" s="188" t="s">
        <v>1149</v>
      </c>
      <c r="C34" s="345"/>
    </row>
    <row r="35" spans="1:21" ht="15.75" customHeight="1">
      <c r="A35" s="406" t="s">
        <v>11</v>
      </c>
      <c r="B35" s="347" t="s">
        <v>796</v>
      </c>
      <c r="T35" s="389" t="s">
        <v>1150</v>
      </c>
    </row>
    <row r="36" spans="1:21">
      <c r="A36" s="406" t="s">
        <v>13</v>
      </c>
      <c r="B36" s="188" t="s">
        <v>14</v>
      </c>
      <c r="T36" s="188">
        <f>0.05/0.27</f>
        <v>0.18518518518518517</v>
      </c>
      <c r="U36" s="188" t="s">
        <v>838</v>
      </c>
    </row>
    <row r="37" spans="1:21">
      <c r="A37" s="406" t="s">
        <v>15</v>
      </c>
      <c r="B37" s="188">
        <f>B42</f>
        <v>0.05</v>
      </c>
    </row>
    <row r="38" spans="1:21">
      <c r="A38" s="406" t="s">
        <v>16</v>
      </c>
      <c r="B38" s="188" t="s">
        <v>17</v>
      </c>
    </row>
    <row r="39" spans="1:21">
      <c r="A39" s="406" t="s">
        <v>18</v>
      </c>
      <c r="B39" s="188" t="s">
        <v>609</v>
      </c>
    </row>
    <row r="40" spans="1:21">
      <c r="A40" s="407" t="s">
        <v>19</v>
      </c>
    </row>
    <row r="41" spans="1:21">
      <c r="A41" s="407" t="s">
        <v>20</v>
      </c>
      <c r="B41" s="344" t="s">
        <v>21</v>
      </c>
      <c r="C41" s="344" t="s">
        <v>18</v>
      </c>
      <c r="D41" s="344" t="s">
        <v>22</v>
      </c>
      <c r="E41" s="344" t="s">
        <v>7</v>
      </c>
      <c r="F41" s="344" t="s">
        <v>13</v>
      </c>
      <c r="G41" s="344" t="s">
        <v>16</v>
      </c>
      <c r="H41" s="344" t="s">
        <v>23</v>
      </c>
      <c r="I41" s="344" t="s">
        <v>24</v>
      </c>
      <c r="J41" s="344" t="s">
        <v>25</v>
      </c>
      <c r="K41" s="344" t="s">
        <v>26</v>
      </c>
      <c r="L41" s="344" t="s">
        <v>27</v>
      </c>
      <c r="M41" s="344" t="s">
        <v>28</v>
      </c>
      <c r="N41" s="344" t="s">
        <v>11</v>
      </c>
    </row>
    <row r="42" spans="1:21">
      <c r="A42" s="381" t="s">
        <v>1147</v>
      </c>
      <c r="B42" s="188">
        <f>P43</f>
        <v>0.05</v>
      </c>
      <c r="C42" s="188" t="s">
        <v>609</v>
      </c>
      <c r="D42" s="408" t="s">
        <v>2</v>
      </c>
      <c r="E42" s="188" t="s">
        <v>29</v>
      </c>
      <c r="F42" s="37" t="s">
        <v>14</v>
      </c>
      <c r="G42" s="188" t="s">
        <v>30</v>
      </c>
      <c r="H42" s="188">
        <v>1</v>
      </c>
      <c r="I42" s="188">
        <f t="shared" ref="I42:I43" si="3">B42</f>
        <v>0.05</v>
      </c>
      <c r="J42" s="188" t="s">
        <v>31</v>
      </c>
      <c r="K42" s="188" t="s">
        <v>31</v>
      </c>
      <c r="L42" s="188" t="s">
        <v>31</v>
      </c>
      <c r="M42" s="188" t="s">
        <v>31</v>
      </c>
    </row>
    <row r="43" spans="1:21">
      <c r="A43" s="381" t="s">
        <v>1151</v>
      </c>
      <c r="B43" s="420">
        <f>B42/T36</f>
        <v>0.27</v>
      </c>
      <c r="C43" s="188" t="s">
        <v>37</v>
      </c>
      <c r="D43" s="408" t="s">
        <v>2</v>
      </c>
      <c r="E43" s="188" t="s">
        <v>29</v>
      </c>
      <c r="F43" s="37" t="s">
        <v>14</v>
      </c>
      <c r="G43" s="188" t="s">
        <v>33</v>
      </c>
      <c r="H43" s="188">
        <v>1</v>
      </c>
      <c r="I43" s="188">
        <f t="shared" si="3"/>
        <v>0.27</v>
      </c>
      <c r="J43" s="188" t="s">
        <v>31</v>
      </c>
      <c r="K43" s="188" t="s">
        <v>31</v>
      </c>
      <c r="L43" s="188" t="s">
        <v>31</v>
      </c>
      <c r="M43" s="188" t="s">
        <v>31</v>
      </c>
      <c r="O43" s="401" t="s">
        <v>610</v>
      </c>
      <c r="P43" s="414">
        <v>0.05</v>
      </c>
      <c r="Q43" s="188" t="s">
        <v>241</v>
      </c>
      <c r="R43" s="188">
        <f>'[3]Same processes'!B46</f>
        <v>0.25</v>
      </c>
      <c r="S43" s="188" t="s">
        <v>1152</v>
      </c>
    </row>
    <row r="44" spans="1:21" ht="14.45">
      <c r="A44" s="406" t="s">
        <v>269</v>
      </c>
      <c r="B44" s="350">
        <f>P44</f>
        <v>0.27</v>
      </c>
      <c r="C44" s="188" t="s">
        <v>39</v>
      </c>
      <c r="D44" s="188" t="s">
        <v>40</v>
      </c>
      <c r="E44" s="188" t="s">
        <v>29</v>
      </c>
      <c r="F44" s="37" t="s">
        <v>35</v>
      </c>
      <c r="G44" s="188" t="s">
        <v>33</v>
      </c>
      <c r="H44" s="188">
        <v>2</v>
      </c>
      <c r="I44" s="188">
        <f t="shared" ref="I44" si="4">LN(B44)</f>
        <v>-1.3093333199837622</v>
      </c>
      <c r="J44" s="464">
        <v>7.2284161474004766E-2</v>
      </c>
      <c r="K44" s="188" t="s">
        <v>31</v>
      </c>
      <c r="L44" s="188" t="s">
        <v>31</v>
      </c>
      <c r="M44" s="188" t="s">
        <v>31</v>
      </c>
      <c r="O44" s="401" t="s">
        <v>248</v>
      </c>
      <c r="P44" s="114">
        <v>0.27</v>
      </c>
    </row>
    <row r="45" spans="1:21" ht="14.45">
      <c r="A45" s="112" t="s">
        <v>310</v>
      </c>
      <c r="B45" s="188">
        <f>R45</f>
        <v>6.0000000000000001E-3</v>
      </c>
      <c r="C45" s="188" t="s">
        <v>37</v>
      </c>
      <c r="D45" s="188" t="s">
        <v>40</v>
      </c>
      <c r="E45" s="188" t="s">
        <v>29</v>
      </c>
      <c r="F45" s="37" t="s">
        <v>59</v>
      </c>
      <c r="G45" s="188" t="s">
        <v>33</v>
      </c>
      <c r="H45" s="188">
        <v>2</v>
      </c>
      <c r="I45" s="188">
        <f>LN(B45)</f>
        <v>-5.1159958097540823</v>
      </c>
      <c r="J45" s="464">
        <v>7.2284161474004766E-2</v>
      </c>
      <c r="K45" s="188" t="s">
        <v>31</v>
      </c>
      <c r="L45" s="188" t="s">
        <v>31</v>
      </c>
      <c r="M45" s="188" t="s">
        <v>31</v>
      </c>
      <c r="O45" s="401" t="s">
        <v>580</v>
      </c>
      <c r="P45" s="114">
        <v>6</v>
      </c>
      <c r="Q45" s="188" t="s">
        <v>241</v>
      </c>
      <c r="R45" s="188">
        <f>P45*0.001</f>
        <v>6.0000000000000001E-3</v>
      </c>
    </row>
    <row r="46" spans="1:21" ht="14.45">
      <c r="A46" s="112" t="s">
        <v>871</v>
      </c>
      <c r="B46" s="188">
        <f>R46</f>
        <v>1.0999999999999999E-2</v>
      </c>
      <c r="C46" s="188" t="s">
        <v>37</v>
      </c>
      <c r="D46" s="188" t="s">
        <v>40</v>
      </c>
      <c r="E46" s="188" t="s">
        <v>29</v>
      </c>
      <c r="F46" s="37" t="s">
        <v>35</v>
      </c>
      <c r="G46" s="188" t="s">
        <v>33</v>
      </c>
      <c r="H46" s="188">
        <v>2</v>
      </c>
      <c r="I46" s="188">
        <f>LN(B46)</f>
        <v>-4.5098600061837661</v>
      </c>
      <c r="J46" s="464">
        <v>7.2284161474004766E-2</v>
      </c>
      <c r="K46" s="188" t="s">
        <v>31</v>
      </c>
      <c r="L46" s="188" t="s">
        <v>31</v>
      </c>
      <c r="M46" s="188" t="s">
        <v>31</v>
      </c>
      <c r="O46" s="401" t="s">
        <v>580</v>
      </c>
      <c r="P46" s="114">
        <v>11</v>
      </c>
      <c r="Q46" s="188" t="s">
        <v>241</v>
      </c>
      <c r="R46" s="188">
        <f>P46*0.001</f>
        <v>1.0999999999999999E-2</v>
      </c>
    </row>
    <row r="47" spans="1:21" ht="14.45">
      <c r="A47" s="112" t="s">
        <v>799</v>
      </c>
      <c r="B47" s="188">
        <f>P47</f>
        <v>10.1</v>
      </c>
      <c r="C47" s="188" t="s">
        <v>37</v>
      </c>
      <c r="D47" s="188" t="s">
        <v>40</v>
      </c>
      <c r="E47" s="188" t="s">
        <v>29</v>
      </c>
      <c r="F47" s="37" t="s">
        <v>74</v>
      </c>
      <c r="G47" s="188" t="s">
        <v>33</v>
      </c>
      <c r="H47" s="188">
        <v>2</v>
      </c>
      <c r="I47" s="188">
        <f>LN(B47)</f>
        <v>2.3125354238472138</v>
      </c>
      <c r="J47" s="464">
        <v>7.2284161474004766E-2</v>
      </c>
      <c r="K47" s="188" t="s">
        <v>31</v>
      </c>
      <c r="L47" s="188" t="s">
        <v>31</v>
      </c>
      <c r="M47" s="188" t="s">
        <v>31</v>
      </c>
      <c r="O47" s="401" t="s">
        <v>241</v>
      </c>
      <c r="P47" s="114">
        <v>10.1</v>
      </c>
    </row>
    <row r="48" spans="1:21" ht="14.45">
      <c r="A48" s="112" t="s">
        <v>76</v>
      </c>
      <c r="B48" s="188">
        <f>R48</f>
        <v>1.01E-2</v>
      </c>
      <c r="C48" s="188" t="s">
        <v>42</v>
      </c>
      <c r="D48" s="188" t="s">
        <v>40</v>
      </c>
      <c r="E48" s="188" t="s">
        <v>29</v>
      </c>
      <c r="F48" s="37" t="s">
        <v>74</v>
      </c>
      <c r="G48" s="188" t="s">
        <v>33</v>
      </c>
      <c r="H48" s="188">
        <v>2</v>
      </c>
      <c r="I48" s="188">
        <f t="shared" ref="I48" si="5">LN(B48)</f>
        <v>-4.595219855134923</v>
      </c>
      <c r="J48" s="464">
        <v>7.2284161474004766E-2</v>
      </c>
      <c r="K48" s="188" t="s">
        <v>31</v>
      </c>
      <c r="L48" s="188" t="s">
        <v>31</v>
      </c>
      <c r="M48" s="188" t="s">
        <v>31</v>
      </c>
      <c r="O48" s="418" t="s">
        <v>863</v>
      </c>
      <c r="P48" s="119">
        <v>10.1</v>
      </c>
      <c r="Q48" s="188" t="s">
        <v>251</v>
      </c>
      <c r="R48" s="188">
        <f>P48/1000</f>
        <v>1.01E-2</v>
      </c>
    </row>
    <row r="49" spans="1:18">
      <c r="A49" s="404" t="s">
        <v>5</v>
      </c>
      <c r="B49" s="371" t="s">
        <v>1153</v>
      </c>
      <c r="C49" s="372"/>
      <c r="D49" s="353"/>
      <c r="E49" s="353"/>
      <c r="F49" s="353"/>
      <c r="G49" s="353"/>
      <c r="H49" s="353"/>
      <c r="I49" s="353"/>
      <c r="J49" s="353"/>
      <c r="K49" s="353"/>
      <c r="L49" s="353"/>
      <c r="M49" s="353"/>
      <c r="N49" s="353"/>
      <c r="O49" s="353"/>
      <c r="P49" s="353"/>
      <c r="Q49" s="353"/>
      <c r="R49" s="353"/>
    </row>
    <row r="50" spans="1:18">
      <c r="A50" s="406" t="s">
        <v>7</v>
      </c>
      <c r="B50" s="188" t="s">
        <v>786</v>
      </c>
      <c r="C50" s="345"/>
    </row>
    <row r="51" spans="1:18">
      <c r="A51" s="406" t="s">
        <v>9</v>
      </c>
      <c r="B51" s="188" t="s">
        <v>1154</v>
      </c>
      <c r="C51" s="345"/>
    </row>
    <row r="52" spans="1:18" ht="10.5" customHeight="1">
      <c r="A52" s="406" t="s">
        <v>11</v>
      </c>
      <c r="B52" s="347" t="s">
        <v>796</v>
      </c>
    </row>
    <row r="53" spans="1:18">
      <c r="A53" s="406" t="s">
        <v>13</v>
      </c>
      <c r="B53" s="188" t="s">
        <v>14</v>
      </c>
    </row>
    <row r="54" spans="1:18">
      <c r="A54" s="406" t="s">
        <v>15</v>
      </c>
      <c r="B54" s="420">
        <f>B59</f>
        <v>1.4E-2</v>
      </c>
    </row>
    <row r="55" spans="1:18">
      <c r="A55" s="406" t="s">
        <v>16</v>
      </c>
      <c r="B55" s="188" t="s">
        <v>17</v>
      </c>
    </row>
    <row r="56" spans="1:18">
      <c r="A56" s="406" t="s">
        <v>18</v>
      </c>
      <c r="B56" s="188" t="s">
        <v>37</v>
      </c>
    </row>
    <row r="57" spans="1:18">
      <c r="A57" s="407" t="s">
        <v>19</v>
      </c>
    </row>
    <row r="58" spans="1:18">
      <c r="A58" s="407" t="s">
        <v>20</v>
      </c>
      <c r="B58" s="344" t="s">
        <v>21</v>
      </c>
      <c r="C58" s="344" t="s">
        <v>18</v>
      </c>
      <c r="D58" s="344" t="s">
        <v>22</v>
      </c>
      <c r="E58" s="344" t="s">
        <v>7</v>
      </c>
      <c r="F58" s="344" t="s">
        <v>13</v>
      </c>
      <c r="G58" s="344" t="s">
        <v>16</v>
      </c>
      <c r="H58" s="344" t="s">
        <v>23</v>
      </c>
      <c r="I58" s="344" t="s">
        <v>24</v>
      </c>
      <c r="J58" s="344" t="s">
        <v>25</v>
      </c>
      <c r="K58" s="344" t="s">
        <v>26</v>
      </c>
      <c r="L58" s="344" t="s">
        <v>27</v>
      </c>
      <c r="M58" s="344" t="s">
        <v>28</v>
      </c>
      <c r="N58" s="344" t="s">
        <v>11</v>
      </c>
    </row>
    <row r="59" spans="1:18">
      <c r="A59" s="381" t="s">
        <v>1153</v>
      </c>
      <c r="B59" s="420">
        <f>P59</f>
        <v>1.4E-2</v>
      </c>
      <c r="C59" s="188" t="s">
        <v>37</v>
      </c>
      <c r="D59" s="408" t="s">
        <v>2</v>
      </c>
      <c r="E59" s="188" t="s">
        <v>29</v>
      </c>
      <c r="F59" s="37" t="s">
        <v>14</v>
      </c>
      <c r="G59" s="188" t="s">
        <v>30</v>
      </c>
      <c r="H59" s="188">
        <v>1</v>
      </c>
      <c r="I59" s="188">
        <f>B59</f>
        <v>1.4E-2</v>
      </c>
      <c r="J59" s="188" t="s">
        <v>31</v>
      </c>
      <c r="K59" s="188" t="s">
        <v>31</v>
      </c>
      <c r="L59" s="188" t="s">
        <v>31</v>
      </c>
      <c r="M59" s="188" t="s">
        <v>31</v>
      </c>
      <c r="O59" s="188" t="s">
        <v>241</v>
      </c>
      <c r="P59" s="462">
        <v>1.4E-2</v>
      </c>
    </row>
    <row r="60" spans="1:18">
      <c r="A60" s="112" t="s">
        <v>874</v>
      </c>
      <c r="B60" s="350">
        <f>R60</f>
        <v>1.4999999999999999E-2</v>
      </c>
      <c r="C60" s="188" t="s">
        <v>37</v>
      </c>
      <c r="D60" s="188" t="s">
        <v>40</v>
      </c>
      <c r="E60" s="188" t="s">
        <v>29</v>
      </c>
      <c r="F60" s="37" t="s">
        <v>59</v>
      </c>
      <c r="G60" s="188" t="s">
        <v>33</v>
      </c>
      <c r="H60" s="188">
        <v>2</v>
      </c>
      <c r="I60" s="188">
        <f>LN(B60)</f>
        <v>-4.1997050778799272</v>
      </c>
      <c r="J60" s="188">
        <v>7.2284161474004766E-2</v>
      </c>
      <c r="K60" s="188" t="s">
        <v>31</v>
      </c>
      <c r="L60" s="188" t="s">
        <v>31</v>
      </c>
      <c r="M60" s="188" t="s">
        <v>31</v>
      </c>
      <c r="O60" s="401" t="s">
        <v>580</v>
      </c>
      <c r="P60" s="414">
        <v>15</v>
      </c>
      <c r="Q60" s="188" t="s">
        <v>241</v>
      </c>
      <c r="R60" s="188">
        <f>P60*0.001</f>
        <v>1.4999999999999999E-2</v>
      </c>
    </row>
    <row r="61" spans="1:18">
      <c r="A61" s="406" t="s">
        <v>269</v>
      </c>
      <c r="B61" s="350">
        <f>P61</f>
        <v>7.0000000000000007E-2</v>
      </c>
      <c r="C61" s="188" t="s">
        <v>39</v>
      </c>
      <c r="D61" s="188" t="s">
        <v>40</v>
      </c>
      <c r="E61" s="188" t="s">
        <v>29</v>
      </c>
      <c r="F61" s="37" t="s">
        <v>35</v>
      </c>
      <c r="G61" s="188" t="s">
        <v>33</v>
      </c>
      <c r="H61" s="188">
        <v>2</v>
      </c>
      <c r="I61" s="188">
        <f t="shared" ref="I61:I62" si="6">LN(B61)</f>
        <v>-2.6592600369327779</v>
      </c>
      <c r="J61" s="188">
        <v>7.2284161474004766E-2</v>
      </c>
      <c r="K61" s="188" t="s">
        <v>31</v>
      </c>
      <c r="L61" s="188" t="s">
        <v>31</v>
      </c>
      <c r="M61" s="188" t="s">
        <v>31</v>
      </c>
      <c r="O61" s="401" t="s">
        <v>248</v>
      </c>
      <c r="P61" s="414">
        <v>7.0000000000000007E-2</v>
      </c>
    </row>
    <row r="62" spans="1:18">
      <c r="A62" s="381" t="s">
        <v>790</v>
      </c>
      <c r="B62" s="188">
        <f>R62</f>
        <v>8.0000000000000004E-4</v>
      </c>
      <c r="C62" s="188" t="s">
        <v>37</v>
      </c>
      <c r="D62" s="408" t="s">
        <v>2</v>
      </c>
      <c r="E62" s="188" t="s">
        <v>29</v>
      </c>
      <c r="F62" s="37" t="s">
        <v>74</v>
      </c>
      <c r="G62" s="188" t="s">
        <v>33</v>
      </c>
      <c r="H62" s="188">
        <v>2</v>
      </c>
      <c r="I62" s="188">
        <f t="shared" si="6"/>
        <v>-7.1308988302963465</v>
      </c>
      <c r="J62" s="188">
        <v>7.2284161474004766E-2</v>
      </c>
      <c r="K62" s="188" t="s">
        <v>31</v>
      </c>
      <c r="L62" s="188" t="s">
        <v>31</v>
      </c>
      <c r="M62" s="188" t="s">
        <v>31</v>
      </c>
      <c r="O62" s="401" t="s">
        <v>580</v>
      </c>
      <c r="P62" s="414">
        <v>0.8</v>
      </c>
      <c r="Q62" s="188" t="s">
        <v>241</v>
      </c>
      <c r="R62" s="188">
        <f>P62*0.001</f>
        <v>8.0000000000000004E-4</v>
      </c>
    </row>
    <row r="63" spans="1:18" s="17" customFormat="1" ht="15.6">
      <c r="A63" s="404" t="s">
        <v>5</v>
      </c>
      <c r="B63" s="371" t="s">
        <v>1151</v>
      </c>
      <c r="C63" s="372"/>
      <c r="D63" s="353"/>
      <c r="E63" s="353"/>
      <c r="F63" s="353"/>
      <c r="G63" s="353"/>
      <c r="H63" s="353"/>
      <c r="I63" s="353"/>
      <c r="J63" s="353"/>
      <c r="K63" s="353"/>
      <c r="L63" s="353"/>
      <c r="M63" s="353"/>
      <c r="N63" s="353"/>
      <c r="O63" s="422"/>
      <c r="P63" s="422"/>
      <c r="Q63" s="422"/>
      <c r="R63" s="422"/>
    </row>
    <row r="64" spans="1:18" s="17" customFormat="1" ht="15.6">
      <c r="A64" s="406" t="s">
        <v>7</v>
      </c>
      <c r="B64" s="188" t="s">
        <v>786</v>
      </c>
      <c r="C64" s="345"/>
      <c r="D64" s="188"/>
      <c r="E64" s="188"/>
      <c r="F64" s="188"/>
      <c r="G64" s="188"/>
      <c r="H64" s="188"/>
      <c r="I64" s="188"/>
      <c r="J64" s="188"/>
      <c r="K64" s="188"/>
      <c r="L64" s="188"/>
      <c r="M64" s="188"/>
      <c r="N64" s="188"/>
    </row>
    <row r="65" spans="1:16" s="17" customFormat="1" ht="15.6">
      <c r="A65" s="406" t="s">
        <v>9</v>
      </c>
      <c r="B65" s="188" t="s">
        <v>1155</v>
      </c>
      <c r="C65" s="345"/>
      <c r="D65" s="188"/>
      <c r="E65" s="188"/>
      <c r="F65" s="188"/>
      <c r="G65" s="188"/>
      <c r="H65" s="188"/>
      <c r="I65" s="188"/>
      <c r="J65" s="188"/>
      <c r="K65" s="188"/>
      <c r="L65" s="188"/>
      <c r="M65" s="188"/>
      <c r="N65" s="188"/>
    </row>
    <row r="66" spans="1:16" s="17" customFormat="1" ht="10.5" customHeight="1">
      <c r="A66" s="406" t="s">
        <v>11</v>
      </c>
      <c r="B66" s="347" t="s">
        <v>796</v>
      </c>
      <c r="C66" s="188"/>
      <c r="D66" s="188"/>
      <c r="E66" s="188"/>
      <c r="F66" s="188"/>
      <c r="G66" s="188"/>
      <c r="H66" s="188"/>
      <c r="I66" s="188"/>
      <c r="J66" s="188"/>
      <c r="K66" s="188"/>
      <c r="L66" s="188"/>
      <c r="M66" s="188"/>
      <c r="N66" s="188"/>
    </row>
    <row r="67" spans="1:16" s="17" customFormat="1" ht="15.6">
      <c r="A67" s="406" t="s">
        <v>13</v>
      </c>
      <c r="B67" s="188" t="s">
        <v>14</v>
      </c>
      <c r="C67" s="188"/>
      <c r="D67" s="188"/>
      <c r="E67" s="188"/>
      <c r="F67" s="188"/>
      <c r="G67" s="188"/>
      <c r="H67" s="188"/>
      <c r="I67" s="188"/>
      <c r="J67" s="188"/>
      <c r="K67" s="188"/>
      <c r="L67" s="188"/>
      <c r="M67" s="188"/>
      <c r="N67" s="188"/>
    </row>
    <row r="68" spans="1:16" s="17" customFormat="1" ht="15.6">
      <c r="A68" s="406" t="s">
        <v>15</v>
      </c>
      <c r="B68" s="358">
        <f>B73</f>
        <v>0.27</v>
      </c>
      <c r="C68" s="188"/>
      <c r="D68" s="188"/>
      <c r="E68" s="188"/>
      <c r="F68" s="188"/>
      <c r="G68" s="188"/>
      <c r="H68" s="188"/>
      <c r="I68" s="188"/>
      <c r="J68" s="188"/>
      <c r="K68" s="188"/>
      <c r="L68" s="188"/>
      <c r="M68" s="188"/>
      <c r="N68" s="188"/>
    </row>
    <row r="69" spans="1:16" s="17" customFormat="1" ht="15.6">
      <c r="A69" s="406" t="s">
        <v>16</v>
      </c>
      <c r="B69" s="188" t="s">
        <v>17</v>
      </c>
      <c r="C69" s="188"/>
      <c r="D69" s="188"/>
      <c r="E69" s="188"/>
      <c r="F69" s="188"/>
      <c r="G69" s="188"/>
      <c r="H69" s="188"/>
      <c r="I69" s="188"/>
      <c r="J69" s="188"/>
      <c r="K69" s="188"/>
      <c r="L69" s="188"/>
      <c r="M69" s="188"/>
      <c r="N69" s="188"/>
    </row>
    <row r="70" spans="1:16" s="17" customFormat="1" ht="15.6">
      <c r="A70" s="406" t="s">
        <v>18</v>
      </c>
      <c r="B70" s="188" t="s">
        <v>37</v>
      </c>
      <c r="C70" s="188"/>
      <c r="D70" s="188"/>
      <c r="E70" s="188"/>
      <c r="F70" s="188"/>
      <c r="G70" s="188"/>
      <c r="H70" s="188"/>
      <c r="I70" s="188"/>
      <c r="J70" s="188"/>
      <c r="K70" s="188"/>
      <c r="L70" s="188"/>
      <c r="M70" s="188"/>
      <c r="N70" s="188"/>
    </row>
    <row r="71" spans="1:16" s="17" customFormat="1" ht="15.6">
      <c r="A71" s="407" t="s">
        <v>19</v>
      </c>
      <c r="B71" s="188"/>
      <c r="C71" s="188"/>
      <c r="D71" s="188"/>
      <c r="E71" s="188"/>
      <c r="F71" s="188"/>
      <c r="G71" s="188"/>
      <c r="H71" s="188"/>
      <c r="I71" s="188"/>
      <c r="J71" s="188"/>
      <c r="K71" s="188"/>
      <c r="L71" s="188"/>
      <c r="M71" s="188"/>
      <c r="N71" s="188"/>
    </row>
    <row r="72" spans="1:16" s="17" customFormat="1" ht="15.6">
      <c r="A72" s="407" t="s">
        <v>20</v>
      </c>
      <c r="B72" s="344" t="s">
        <v>21</v>
      </c>
      <c r="C72" s="344" t="s">
        <v>18</v>
      </c>
      <c r="D72" s="344" t="s">
        <v>22</v>
      </c>
      <c r="E72" s="344" t="s">
        <v>7</v>
      </c>
      <c r="F72" s="344" t="s">
        <v>13</v>
      </c>
      <c r="G72" s="344" t="s">
        <v>16</v>
      </c>
      <c r="H72" s="344" t="s">
        <v>23</v>
      </c>
      <c r="I72" s="344" t="s">
        <v>24</v>
      </c>
      <c r="J72" s="344" t="s">
        <v>25</v>
      </c>
      <c r="K72" s="344" t="s">
        <v>26</v>
      </c>
      <c r="L72" s="344" t="s">
        <v>27</v>
      </c>
      <c r="M72" s="344" t="s">
        <v>28</v>
      </c>
      <c r="N72" s="344" t="s">
        <v>11</v>
      </c>
    </row>
    <row r="73" spans="1:16" s="17" customFormat="1" ht="15.6">
      <c r="A73" s="381" t="s">
        <v>1151</v>
      </c>
      <c r="B73" s="358">
        <v>0.27</v>
      </c>
      <c r="C73" s="188" t="s">
        <v>37</v>
      </c>
      <c r="D73" s="408" t="s">
        <v>2</v>
      </c>
      <c r="E73" s="188" t="s">
        <v>29</v>
      </c>
      <c r="F73" s="37" t="s">
        <v>14</v>
      </c>
      <c r="G73" s="188" t="s">
        <v>30</v>
      </c>
      <c r="H73" s="188">
        <v>1</v>
      </c>
      <c r="I73" s="358">
        <f>B73</f>
        <v>0.27</v>
      </c>
      <c r="J73" s="188" t="s">
        <v>31</v>
      </c>
      <c r="K73" s="188" t="s">
        <v>31</v>
      </c>
      <c r="L73" s="188" t="s">
        <v>31</v>
      </c>
      <c r="M73" s="188" t="s">
        <v>31</v>
      </c>
      <c r="N73" s="188"/>
      <c r="O73" s="180"/>
      <c r="P73" s="423"/>
    </row>
    <row r="74" spans="1:16" s="17" customFormat="1" ht="15.6">
      <c r="A74" s="112" t="s">
        <v>703</v>
      </c>
      <c r="B74" s="350">
        <v>0.27</v>
      </c>
      <c r="C74" s="188" t="s">
        <v>37</v>
      </c>
      <c r="D74" s="188" t="s">
        <v>40</v>
      </c>
      <c r="E74" s="188" t="s">
        <v>29</v>
      </c>
      <c r="F74" s="37" t="s">
        <v>59</v>
      </c>
      <c r="G74" s="188" t="s">
        <v>33</v>
      </c>
      <c r="H74" s="188">
        <v>1</v>
      </c>
      <c r="I74" s="358">
        <f t="shared" ref="I74:I75" si="7">B74</f>
        <v>0.27</v>
      </c>
      <c r="J74" s="188" t="s">
        <v>31</v>
      </c>
      <c r="K74" s="188" t="s">
        <v>31</v>
      </c>
      <c r="L74" s="188" t="s">
        <v>31</v>
      </c>
      <c r="M74" s="188" t="s">
        <v>31</v>
      </c>
      <c r="N74" s="188"/>
      <c r="O74" s="180"/>
      <c r="P74" s="423"/>
    </row>
    <row r="75" spans="1:16" s="17" customFormat="1" ht="15.6">
      <c r="A75" s="112" t="s">
        <v>876</v>
      </c>
      <c r="B75" s="350">
        <v>0.27</v>
      </c>
      <c r="C75" s="188" t="s">
        <v>37</v>
      </c>
      <c r="D75" s="188" t="s">
        <v>40</v>
      </c>
      <c r="E75" s="188" t="s">
        <v>29</v>
      </c>
      <c r="F75" s="37" t="s">
        <v>59</v>
      </c>
      <c r="G75" s="188" t="s">
        <v>33</v>
      </c>
      <c r="H75" s="188">
        <v>1</v>
      </c>
      <c r="I75" s="358">
        <f t="shared" si="7"/>
        <v>0.27</v>
      </c>
      <c r="J75" s="188" t="s">
        <v>31</v>
      </c>
      <c r="K75" s="188" t="s">
        <v>31</v>
      </c>
      <c r="L75" s="188" t="s">
        <v>31</v>
      </c>
      <c r="M75" s="188" t="s">
        <v>31</v>
      </c>
      <c r="N75" s="188"/>
      <c r="O75" s="180"/>
      <c r="P75" s="423"/>
    </row>
    <row r="76" spans="1:16" s="422" customFormat="1" ht="15.6">
      <c r="A76" s="370" t="s">
        <v>5</v>
      </c>
      <c r="B76" s="371" t="s">
        <v>1156</v>
      </c>
      <c r="C76" s="372"/>
      <c r="D76" s="353"/>
      <c r="E76" s="353"/>
      <c r="F76" s="353"/>
      <c r="G76" s="353"/>
      <c r="H76" s="353"/>
      <c r="I76" s="353"/>
      <c r="J76" s="353"/>
      <c r="K76" s="353"/>
      <c r="L76" s="353"/>
      <c r="M76" s="353"/>
      <c r="N76" s="353"/>
    </row>
    <row r="77" spans="1:16" s="17" customFormat="1" ht="15.6">
      <c r="A77" s="346" t="s">
        <v>7</v>
      </c>
      <c r="B77" s="188" t="s">
        <v>786</v>
      </c>
      <c r="C77" s="345"/>
      <c r="D77" s="188"/>
      <c r="E77" s="188"/>
      <c r="F77" s="188"/>
      <c r="G77" s="188"/>
      <c r="H77" s="188"/>
      <c r="I77" s="188"/>
      <c r="J77" s="188"/>
      <c r="K77" s="188"/>
      <c r="L77" s="188"/>
      <c r="M77" s="188"/>
      <c r="N77" s="188"/>
    </row>
    <row r="78" spans="1:16" s="17" customFormat="1" ht="15.6">
      <c r="A78" s="424" t="s">
        <v>9</v>
      </c>
      <c r="B78" s="188" t="s">
        <v>1157</v>
      </c>
      <c r="C78" s="345"/>
      <c r="D78" s="188"/>
      <c r="E78" s="188"/>
      <c r="F78" s="188"/>
      <c r="G78" s="188"/>
      <c r="H78" s="188"/>
      <c r="I78" s="188"/>
      <c r="J78" s="188"/>
      <c r="K78" s="188"/>
      <c r="L78" s="188"/>
      <c r="M78" s="188"/>
      <c r="N78" s="188"/>
    </row>
    <row r="79" spans="1:16" s="17" customFormat="1" ht="15.75" customHeight="1">
      <c r="A79" s="346" t="s">
        <v>11</v>
      </c>
      <c r="B79" s="347" t="s">
        <v>796</v>
      </c>
      <c r="C79" s="188"/>
      <c r="D79" s="188"/>
      <c r="E79" s="188"/>
      <c r="F79" s="188"/>
      <c r="G79" s="188"/>
      <c r="H79" s="188"/>
      <c r="I79" s="188"/>
      <c r="J79" s="188"/>
      <c r="K79" s="188"/>
      <c r="L79" s="188"/>
      <c r="M79" s="188"/>
      <c r="N79" s="188"/>
    </row>
    <row r="80" spans="1:16" s="17" customFormat="1" ht="15.6">
      <c r="A80" s="346" t="s">
        <v>13</v>
      </c>
      <c r="B80" s="188" t="s">
        <v>14</v>
      </c>
      <c r="C80" s="188"/>
      <c r="D80" s="188"/>
      <c r="E80" s="188"/>
      <c r="F80" s="188"/>
      <c r="G80" s="188"/>
      <c r="H80" s="188"/>
      <c r="I80" s="188"/>
      <c r="J80" s="188"/>
      <c r="K80" s="188"/>
      <c r="L80" s="188"/>
      <c r="M80" s="188"/>
      <c r="N80" s="188"/>
    </row>
    <row r="81" spans="1:19" s="17" customFormat="1" ht="15.6">
      <c r="A81" s="346" t="s">
        <v>15</v>
      </c>
      <c r="B81" s="445">
        <f>B86</f>
        <v>2.33</v>
      </c>
      <c r="C81" s="188"/>
      <c r="D81" s="188"/>
      <c r="E81" s="188"/>
      <c r="F81" s="188"/>
      <c r="G81" s="188"/>
      <c r="H81" s="188"/>
      <c r="I81" s="188"/>
      <c r="J81" s="188"/>
      <c r="K81" s="188"/>
      <c r="L81" s="188"/>
      <c r="M81" s="188"/>
      <c r="N81" s="188"/>
    </row>
    <row r="82" spans="1:19" s="17" customFormat="1" ht="15.6">
      <c r="A82" s="346" t="s">
        <v>16</v>
      </c>
      <c r="B82" s="188" t="s">
        <v>17</v>
      </c>
      <c r="C82" s="188"/>
      <c r="D82" s="188"/>
      <c r="E82" s="188"/>
      <c r="F82" s="188"/>
      <c r="G82" s="188"/>
      <c r="H82" s="188"/>
      <c r="I82" s="188"/>
      <c r="J82" s="188"/>
      <c r="K82" s="188"/>
      <c r="L82" s="188"/>
      <c r="M82" s="188"/>
      <c r="N82" s="188"/>
    </row>
    <row r="83" spans="1:19" s="17" customFormat="1" ht="15.6">
      <c r="A83" s="346" t="s">
        <v>18</v>
      </c>
      <c r="B83" s="188" t="s">
        <v>37</v>
      </c>
      <c r="C83" s="188"/>
      <c r="D83" s="188"/>
      <c r="E83" s="188"/>
      <c r="F83" s="188"/>
      <c r="G83" s="188"/>
      <c r="H83" s="188"/>
      <c r="I83" s="188"/>
      <c r="J83" s="188"/>
      <c r="K83" s="188"/>
      <c r="L83" s="188"/>
      <c r="M83" s="188"/>
      <c r="N83" s="188"/>
      <c r="S83" s="426"/>
    </row>
    <row r="84" spans="1:19" s="17" customFormat="1" ht="15.6">
      <c r="A84" s="343" t="s">
        <v>19</v>
      </c>
      <c r="B84" s="188"/>
      <c r="C84" s="188"/>
      <c r="D84" s="188"/>
      <c r="E84" s="188"/>
      <c r="F84" s="188"/>
      <c r="G84" s="188"/>
      <c r="H84" s="188"/>
      <c r="I84" s="188"/>
      <c r="J84" s="188"/>
      <c r="K84" s="188"/>
      <c r="L84" s="188"/>
      <c r="M84" s="188"/>
      <c r="N84" s="188"/>
    </row>
    <row r="85" spans="1:19" s="17" customFormat="1" ht="15.6">
      <c r="A85" s="344" t="s">
        <v>20</v>
      </c>
      <c r="B85" s="344" t="s">
        <v>21</v>
      </c>
      <c r="C85" s="344" t="s">
        <v>18</v>
      </c>
      <c r="D85" s="344" t="s">
        <v>22</v>
      </c>
      <c r="E85" s="344" t="s">
        <v>7</v>
      </c>
      <c r="F85" s="344" t="s">
        <v>13</v>
      </c>
      <c r="G85" s="344" t="s">
        <v>16</v>
      </c>
      <c r="H85" s="344" t="s">
        <v>23</v>
      </c>
      <c r="I85" s="344" t="s">
        <v>24</v>
      </c>
      <c r="J85" s="344" t="s">
        <v>25</v>
      </c>
      <c r="K85" s="344" t="s">
        <v>26</v>
      </c>
      <c r="L85" s="344" t="s">
        <v>27</v>
      </c>
      <c r="M85" s="344" t="s">
        <v>28</v>
      </c>
      <c r="N85" s="344" t="s">
        <v>11</v>
      </c>
    </row>
    <row r="86" spans="1:19" s="17" customFormat="1" ht="15.6">
      <c r="A86" s="188" t="s">
        <v>1156</v>
      </c>
      <c r="B86" s="358">
        <v>2.33</v>
      </c>
      <c r="C86" s="188" t="s">
        <v>37</v>
      </c>
      <c r="D86" s="408" t="s">
        <v>2</v>
      </c>
      <c r="E86" s="188" t="s">
        <v>29</v>
      </c>
      <c r="F86" s="188" t="s">
        <v>14</v>
      </c>
      <c r="G86" s="188" t="s">
        <v>879</v>
      </c>
      <c r="H86" s="188">
        <v>1</v>
      </c>
      <c r="I86" s="358">
        <f>B86</f>
        <v>2.33</v>
      </c>
      <c r="J86" s="188" t="s">
        <v>31</v>
      </c>
      <c r="K86" s="188" t="s">
        <v>31</v>
      </c>
      <c r="L86" s="188" t="s">
        <v>31</v>
      </c>
      <c r="M86" s="188" t="s">
        <v>31</v>
      </c>
      <c r="N86" s="188"/>
      <c r="O86" s="180"/>
      <c r="P86" s="423"/>
    </row>
    <row r="87" spans="1:19" s="17" customFormat="1" ht="15.6">
      <c r="A87" s="88" t="s">
        <v>653</v>
      </c>
      <c r="B87" s="358">
        <v>2.33</v>
      </c>
      <c r="C87" s="188" t="s">
        <v>37</v>
      </c>
      <c r="D87" s="188" t="s">
        <v>40</v>
      </c>
      <c r="E87" s="188" t="s">
        <v>29</v>
      </c>
      <c r="F87" s="37" t="s">
        <v>59</v>
      </c>
      <c r="G87" s="188" t="s">
        <v>33</v>
      </c>
      <c r="H87" s="188">
        <v>1</v>
      </c>
      <c r="I87" s="358">
        <f t="shared" ref="I87:I89" si="8">B87</f>
        <v>2.33</v>
      </c>
      <c r="J87" s="188" t="s">
        <v>31</v>
      </c>
      <c r="K87" s="188" t="s">
        <v>31</v>
      </c>
      <c r="L87" s="188" t="s">
        <v>31</v>
      </c>
      <c r="M87" s="188" t="s">
        <v>31</v>
      </c>
      <c r="N87" s="188"/>
      <c r="O87" s="180"/>
      <c r="P87" s="423"/>
    </row>
    <row r="88" spans="1:19" s="17" customFormat="1" ht="15.6">
      <c r="A88" s="88" t="s">
        <v>624</v>
      </c>
      <c r="B88" s="358">
        <v>2.33</v>
      </c>
      <c r="C88" s="188" t="s">
        <v>37</v>
      </c>
      <c r="D88" s="188" t="s">
        <v>40</v>
      </c>
      <c r="E88" s="188" t="s">
        <v>29</v>
      </c>
      <c r="F88" s="37" t="s">
        <v>59</v>
      </c>
      <c r="G88" s="188" t="s">
        <v>33</v>
      </c>
      <c r="H88" s="188">
        <v>1</v>
      </c>
      <c r="I88" s="358">
        <f t="shared" si="8"/>
        <v>2.33</v>
      </c>
      <c r="J88" s="188" t="s">
        <v>31</v>
      </c>
      <c r="K88" s="188" t="s">
        <v>31</v>
      </c>
      <c r="L88" s="188" t="s">
        <v>31</v>
      </c>
      <c r="M88" s="188" t="s">
        <v>31</v>
      </c>
      <c r="N88" s="188"/>
      <c r="O88" s="180"/>
      <c r="P88" s="423"/>
    </row>
    <row r="89" spans="1:19" s="17" customFormat="1" ht="15.6">
      <c r="A89" s="88" t="s">
        <v>880</v>
      </c>
      <c r="B89" s="358">
        <v>2.33</v>
      </c>
      <c r="C89" s="188" t="s">
        <v>37</v>
      </c>
      <c r="D89" s="188" t="s">
        <v>40</v>
      </c>
      <c r="E89" s="188" t="s">
        <v>29</v>
      </c>
      <c r="F89" s="37" t="s">
        <v>35</v>
      </c>
      <c r="G89" s="188" t="s">
        <v>33</v>
      </c>
      <c r="H89" s="188">
        <v>1</v>
      </c>
      <c r="I89" s="358">
        <f t="shared" si="8"/>
        <v>2.33</v>
      </c>
      <c r="J89" s="188" t="s">
        <v>31</v>
      </c>
      <c r="K89" s="188" t="s">
        <v>31</v>
      </c>
      <c r="L89" s="188" t="s">
        <v>31</v>
      </c>
      <c r="M89" s="188" t="s">
        <v>31</v>
      </c>
      <c r="N89" s="188"/>
      <c r="O89" s="180"/>
      <c r="P89" s="423"/>
    </row>
    <row r="90" spans="1:19" s="17" customFormat="1" ht="15.6">
      <c r="A90" s="370" t="s">
        <v>5</v>
      </c>
      <c r="B90" s="371" t="s">
        <v>1141</v>
      </c>
      <c r="C90" s="372"/>
      <c r="D90" s="353"/>
      <c r="E90" s="353"/>
      <c r="F90" s="353"/>
      <c r="G90" s="353"/>
      <c r="H90" s="353"/>
      <c r="I90" s="353"/>
      <c r="J90" s="353"/>
      <c r="K90" s="353"/>
      <c r="L90" s="353"/>
      <c r="M90" s="353"/>
      <c r="N90" s="188"/>
    </row>
    <row r="91" spans="1:19" s="17" customFormat="1" ht="15.6">
      <c r="A91" s="346" t="s">
        <v>7</v>
      </c>
      <c r="B91" s="188" t="s">
        <v>786</v>
      </c>
      <c r="C91" s="345"/>
      <c r="D91" s="188"/>
      <c r="E91" s="188"/>
      <c r="F91" s="188"/>
      <c r="G91" s="188"/>
      <c r="H91" s="188"/>
      <c r="I91" s="188"/>
      <c r="J91" s="188"/>
      <c r="K91" s="188"/>
      <c r="L91" s="188"/>
      <c r="M91" s="188"/>
      <c r="N91" s="188"/>
    </row>
    <row r="92" spans="1:19" s="17" customFormat="1" ht="15.6">
      <c r="A92" s="346" t="s">
        <v>9</v>
      </c>
      <c r="B92" s="381" t="s">
        <v>1158</v>
      </c>
      <c r="C92" s="345"/>
      <c r="D92" s="188"/>
      <c r="E92" s="188"/>
      <c r="F92" s="188"/>
      <c r="G92" s="188"/>
      <c r="H92" s="188"/>
      <c r="I92" s="188"/>
      <c r="J92" s="188"/>
      <c r="K92" s="188"/>
      <c r="L92" s="188"/>
      <c r="M92" s="188"/>
      <c r="N92" s="188"/>
    </row>
    <row r="93" spans="1:19" s="17" customFormat="1" ht="15.6">
      <c r="A93" s="346" t="s">
        <v>11</v>
      </c>
      <c r="B93" s="347" t="s">
        <v>788</v>
      </c>
      <c r="C93" s="188"/>
      <c r="D93" s="188"/>
      <c r="E93" s="188"/>
      <c r="F93" s="188"/>
      <c r="G93" s="188"/>
      <c r="H93" s="188"/>
      <c r="I93" s="188"/>
      <c r="J93" s="188"/>
      <c r="K93" s="188"/>
      <c r="L93" s="188"/>
      <c r="M93" s="188"/>
      <c r="N93" s="188"/>
    </row>
    <row r="94" spans="1:19" s="17" customFormat="1" ht="15.6">
      <c r="A94" s="346" t="s">
        <v>13</v>
      </c>
      <c r="B94" s="37" t="s">
        <v>14</v>
      </c>
      <c r="C94" s="188"/>
      <c r="D94" s="188"/>
      <c r="E94" s="188"/>
      <c r="F94" s="188"/>
      <c r="G94" s="188"/>
      <c r="H94" s="188"/>
      <c r="I94" s="188"/>
      <c r="J94" s="188"/>
      <c r="K94" s="188"/>
      <c r="L94" s="188"/>
      <c r="M94" s="188"/>
      <c r="N94" s="188"/>
    </row>
    <row r="95" spans="1:19" s="17" customFormat="1" ht="15.6">
      <c r="A95" s="346" t="s">
        <v>15</v>
      </c>
      <c r="B95" s="188">
        <f>B100</f>
        <v>2.33</v>
      </c>
      <c r="C95" s="188"/>
      <c r="D95" s="188"/>
      <c r="E95" s="188"/>
      <c r="F95" s="188"/>
      <c r="G95" s="188"/>
      <c r="H95" s="188"/>
      <c r="I95" s="188"/>
      <c r="J95" s="188"/>
      <c r="K95" s="188"/>
      <c r="L95" s="188"/>
      <c r="M95" s="188"/>
      <c r="N95" s="188"/>
    </row>
    <row r="96" spans="1:19" s="17" customFormat="1" ht="15.6">
      <c r="A96" s="346" t="s">
        <v>16</v>
      </c>
      <c r="B96" s="188" t="s">
        <v>17</v>
      </c>
      <c r="C96" s="188"/>
      <c r="D96" s="188"/>
      <c r="E96" s="188"/>
      <c r="F96" s="188"/>
      <c r="G96" s="188"/>
      <c r="H96" s="188"/>
      <c r="I96" s="188"/>
      <c r="J96" s="188"/>
      <c r="K96" s="188"/>
      <c r="L96" s="188"/>
      <c r="M96" s="188"/>
      <c r="N96" s="188"/>
    </row>
    <row r="97" spans="1:14" s="17" customFormat="1" ht="15.6">
      <c r="A97" s="346" t="s">
        <v>18</v>
      </c>
      <c r="B97" s="188" t="s">
        <v>37</v>
      </c>
      <c r="C97" s="188"/>
      <c r="D97" s="188"/>
      <c r="E97" s="188"/>
      <c r="F97" s="188"/>
      <c r="G97" s="188"/>
      <c r="H97" s="188"/>
      <c r="I97" s="188"/>
      <c r="J97" s="188"/>
      <c r="K97" s="188"/>
      <c r="L97" s="188"/>
      <c r="M97" s="188"/>
      <c r="N97" s="188"/>
    </row>
    <row r="98" spans="1:14" s="17" customFormat="1" ht="15.6">
      <c r="A98" s="343" t="s">
        <v>19</v>
      </c>
      <c r="B98" s="188"/>
      <c r="C98" s="188"/>
      <c r="D98" s="188"/>
      <c r="E98" s="188"/>
      <c r="F98" s="188"/>
      <c r="G98" s="188"/>
      <c r="H98" s="188"/>
      <c r="I98" s="188"/>
      <c r="J98" s="188"/>
      <c r="K98" s="188"/>
      <c r="L98" s="188"/>
      <c r="M98" s="188"/>
      <c r="N98" s="188"/>
    </row>
    <row r="99" spans="1:14" s="17" customFormat="1" ht="15.6">
      <c r="A99" s="343" t="s">
        <v>20</v>
      </c>
      <c r="B99" s="344" t="s">
        <v>21</v>
      </c>
      <c r="C99" s="344" t="s">
        <v>18</v>
      </c>
      <c r="D99" s="344" t="s">
        <v>22</v>
      </c>
      <c r="E99" s="344" t="s">
        <v>7</v>
      </c>
      <c r="F99" s="344" t="s">
        <v>13</v>
      </c>
      <c r="G99" s="344" t="s">
        <v>16</v>
      </c>
      <c r="H99" s="344" t="s">
        <v>23</v>
      </c>
      <c r="I99" s="344" t="s">
        <v>24</v>
      </c>
      <c r="J99" s="344" t="s">
        <v>25</v>
      </c>
      <c r="K99" s="344" t="s">
        <v>26</v>
      </c>
      <c r="L99" s="344" t="s">
        <v>27</v>
      </c>
      <c r="M99" s="344" t="s">
        <v>28</v>
      </c>
      <c r="N99" s="344" t="s">
        <v>11</v>
      </c>
    </row>
    <row r="100" spans="1:14" s="17" customFormat="1" ht="15.6">
      <c r="A100" s="371" t="s">
        <v>1141</v>
      </c>
      <c r="B100" s="493">
        <f>B101</f>
        <v>2.33</v>
      </c>
      <c r="C100" s="188" t="s">
        <v>37</v>
      </c>
      <c r="D100" s="188" t="s">
        <v>2</v>
      </c>
      <c r="E100" s="188" t="s">
        <v>29</v>
      </c>
      <c r="F100" s="37" t="s">
        <v>14</v>
      </c>
      <c r="G100" s="188" t="s">
        <v>30</v>
      </c>
      <c r="H100" s="188">
        <v>1</v>
      </c>
      <c r="I100" s="188">
        <f>B100</f>
        <v>2.33</v>
      </c>
      <c r="J100" s="188" t="s">
        <v>31</v>
      </c>
      <c r="K100" s="188" t="s">
        <v>31</v>
      </c>
      <c r="L100" s="188" t="s">
        <v>31</v>
      </c>
      <c r="M100" s="188" t="s">
        <v>31</v>
      </c>
      <c r="N100" s="188"/>
    </row>
    <row r="101" spans="1:14" s="17" customFormat="1" ht="15.6">
      <c r="A101" s="192" t="s">
        <v>1156</v>
      </c>
      <c r="B101" s="493">
        <f>B86</f>
        <v>2.33</v>
      </c>
      <c r="C101" s="188" t="s">
        <v>37</v>
      </c>
      <c r="D101" s="188" t="s">
        <v>2</v>
      </c>
      <c r="E101" s="188" t="s">
        <v>29</v>
      </c>
      <c r="F101" s="37" t="s">
        <v>14</v>
      </c>
      <c r="G101" s="188" t="s">
        <v>33</v>
      </c>
      <c r="H101" s="188">
        <v>1</v>
      </c>
      <c r="I101" s="188">
        <f>B101</f>
        <v>2.33</v>
      </c>
      <c r="J101" s="188" t="s">
        <v>31</v>
      </c>
      <c r="K101" s="188" t="s">
        <v>31</v>
      </c>
      <c r="L101" s="188" t="s">
        <v>31</v>
      </c>
      <c r="M101" s="188" t="s">
        <v>31</v>
      </c>
      <c r="N101" s="188"/>
    </row>
    <row r="102" spans="1:14" s="17" customFormat="1" ht="15.6">
      <c r="A102" s="130" t="s">
        <v>882</v>
      </c>
      <c r="B102" s="188">
        <v>1.7000000000000001E-2</v>
      </c>
      <c r="C102" s="188" t="s">
        <v>37</v>
      </c>
      <c r="D102" s="188" t="s">
        <v>40</v>
      </c>
      <c r="E102" s="188" t="s">
        <v>29</v>
      </c>
      <c r="F102" s="37" t="s">
        <v>82</v>
      </c>
      <c r="G102" s="188" t="s">
        <v>33</v>
      </c>
      <c r="H102" s="188">
        <v>1</v>
      </c>
      <c r="I102" s="188">
        <f t="shared" ref="I102:I104" si="9">B102</f>
        <v>1.7000000000000001E-2</v>
      </c>
      <c r="J102" s="188" t="s">
        <v>31</v>
      </c>
      <c r="K102" s="188" t="s">
        <v>31</v>
      </c>
      <c r="L102" s="188" t="s">
        <v>31</v>
      </c>
      <c r="M102" s="188" t="s">
        <v>31</v>
      </c>
      <c r="N102" s="188"/>
    </row>
    <row r="103" spans="1:14" s="17" customFormat="1" ht="15.6">
      <c r="A103" s="130" t="s">
        <v>883</v>
      </c>
      <c r="B103" s="188">
        <v>0.4</v>
      </c>
      <c r="C103" s="188" t="s">
        <v>609</v>
      </c>
      <c r="D103" s="188" t="s">
        <v>40</v>
      </c>
      <c r="E103" s="188" t="s">
        <v>29</v>
      </c>
      <c r="F103" s="37" t="s">
        <v>59</v>
      </c>
      <c r="G103" s="188" t="s">
        <v>33</v>
      </c>
      <c r="H103" s="188">
        <v>1</v>
      </c>
      <c r="I103" s="188">
        <f t="shared" si="9"/>
        <v>0.4</v>
      </c>
      <c r="J103" s="188" t="s">
        <v>31</v>
      </c>
      <c r="K103" s="188" t="s">
        <v>31</v>
      </c>
      <c r="L103" s="188" t="s">
        <v>31</v>
      </c>
      <c r="M103" s="188" t="s">
        <v>31</v>
      </c>
      <c r="N103" s="188"/>
    </row>
    <row r="104" spans="1:14" s="17" customFormat="1" ht="15.6">
      <c r="A104" s="130" t="s">
        <v>599</v>
      </c>
      <c r="B104" s="188">
        <v>1.7000000000000001E-2</v>
      </c>
      <c r="C104" s="188" t="s">
        <v>37</v>
      </c>
      <c r="D104" s="188" t="s">
        <v>40</v>
      </c>
      <c r="E104" s="188" t="s">
        <v>29</v>
      </c>
      <c r="F104" s="37" t="s">
        <v>59</v>
      </c>
      <c r="G104" s="188" t="s">
        <v>33</v>
      </c>
      <c r="H104" s="188">
        <v>1</v>
      </c>
      <c r="I104" s="188">
        <f t="shared" si="9"/>
        <v>1.7000000000000001E-2</v>
      </c>
      <c r="J104" s="188" t="s">
        <v>31</v>
      </c>
      <c r="K104" s="188" t="s">
        <v>31</v>
      </c>
      <c r="L104" s="188" t="s">
        <v>31</v>
      </c>
      <c r="M104" s="188" t="s">
        <v>31</v>
      </c>
      <c r="N104" s="188"/>
    </row>
  </sheetData>
  <pageMargins left="0.7" right="0.7" top="0.75" bottom="0.75" header="0.3" footer="0.3"/>
  <pageSetup paperSize="9"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5635E-662E-4D2C-A639-E5BD4B93967D}">
  <sheetPr>
    <tabColor rgb="FFFFFF00"/>
  </sheetPr>
  <dimension ref="A1:U47"/>
  <sheetViews>
    <sheetView topLeftCell="A15" zoomScaleNormal="100" workbookViewId="0">
      <selection activeCell="A12" sqref="A12"/>
    </sheetView>
  </sheetViews>
  <sheetFormatPr defaultColWidth="9.140625" defaultRowHeight="12.95"/>
  <cols>
    <col min="1" max="1" width="68.7109375" style="188" bestFit="1" customWidth="1"/>
    <col min="2" max="2" width="13.5703125" style="188" customWidth="1"/>
    <col min="3" max="3" width="9.140625" style="188"/>
    <col min="4" max="4" width="23.42578125" style="188" customWidth="1"/>
    <col min="5" max="6" width="9.140625" style="188"/>
    <col min="7" max="7" width="12.7109375" style="188" customWidth="1"/>
    <col min="8" max="16384" width="9.140625" style="188"/>
  </cols>
  <sheetData>
    <row r="1" spans="1:21">
      <c r="A1" s="188" t="s">
        <v>0</v>
      </c>
      <c r="B1" s="188">
        <v>13</v>
      </c>
    </row>
    <row r="2" spans="1:21" s="353" customFormat="1">
      <c r="A2" s="370" t="s">
        <v>5</v>
      </c>
      <c r="B2" s="371" t="s">
        <v>1140</v>
      </c>
    </row>
    <row r="3" spans="1:21">
      <c r="A3" s="346" t="s">
        <v>7</v>
      </c>
      <c r="B3" s="188" t="s">
        <v>786</v>
      </c>
      <c r="C3" s="345"/>
    </row>
    <row r="4" spans="1:21">
      <c r="A4" s="424" t="s">
        <v>9</v>
      </c>
      <c r="B4" s="188" t="s">
        <v>1159</v>
      </c>
      <c r="C4" s="345"/>
    </row>
    <row r="5" spans="1:21" ht="15.75" customHeight="1">
      <c r="A5" s="346" t="s">
        <v>11</v>
      </c>
      <c r="B5" s="347" t="s">
        <v>796</v>
      </c>
    </row>
    <row r="6" spans="1:21">
      <c r="A6" s="346" t="s">
        <v>13</v>
      </c>
      <c r="B6" s="188" t="s">
        <v>14</v>
      </c>
    </row>
    <row r="7" spans="1:21">
      <c r="A7" s="346" t="s">
        <v>15</v>
      </c>
      <c r="B7" s="415">
        <f>B12</f>
        <v>7.0000000000000007E-2</v>
      </c>
      <c r="R7" s="344" t="s">
        <v>885</v>
      </c>
    </row>
    <row r="8" spans="1:21">
      <c r="A8" s="346" t="s">
        <v>16</v>
      </c>
      <c r="B8" s="188" t="s">
        <v>17</v>
      </c>
      <c r="R8" s="188" t="s">
        <v>886</v>
      </c>
      <c r="S8" s="188">
        <v>8900</v>
      </c>
      <c r="T8" s="188" t="s">
        <v>887</v>
      </c>
    </row>
    <row r="9" spans="1:21">
      <c r="A9" s="346" t="s">
        <v>18</v>
      </c>
      <c r="B9" s="188" t="s">
        <v>37</v>
      </c>
      <c r="R9" s="188" t="s">
        <v>888</v>
      </c>
      <c r="S9" s="188">
        <f>5*10^-6</f>
        <v>4.9999999999999996E-6</v>
      </c>
      <c r="T9" s="188" t="s">
        <v>889</v>
      </c>
    </row>
    <row r="10" spans="1:21">
      <c r="A10" s="343" t="s">
        <v>19</v>
      </c>
      <c r="R10" s="427" t="s">
        <v>890</v>
      </c>
      <c r="S10" s="428">
        <f>S9*S8</f>
        <v>4.4499999999999998E-2</v>
      </c>
      <c r="T10" s="429" t="s">
        <v>891</v>
      </c>
    </row>
    <row r="11" spans="1:21">
      <c r="A11" s="344"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21">
      <c r="A12" s="188" t="s">
        <v>1140</v>
      </c>
      <c r="B12" s="461">
        <v>7.0000000000000007E-2</v>
      </c>
      <c r="C12" s="188" t="s">
        <v>37</v>
      </c>
      <c r="D12" s="408" t="s">
        <v>2</v>
      </c>
      <c r="E12" s="188" t="s">
        <v>29</v>
      </c>
      <c r="F12" s="188" t="s">
        <v>14</v>
      </c>
      <c r="G12" s="188" t="s">
        <v>30</v>
      </c>
      <c r="H12" s="188">
        <v>1</v>
      </c>
      <c r="I12" s="415">
        <f>B12</f>
        <v>7.0000000000000007E-2</v>
      </c>
      <c r="J12" s="188" t="s">
        <v>31</v>
      </c>
      <c r="K12" s="188" t="s">
        <v>31</v>
      </c>
      <c r="L12" s="188" t="s">
        <v>31</v>
      </c>
      <c r="M12" s="188" t="s">
        <v>31</v>
      </c>
      <c r="O12" s="188" t="s">
        <v>1005</v>
      </c>
      <c r="P12" s="450" t="s">
        <v>231</v>
      </c>
      <c r="R12" s="188" t="s">
        <v>554</v>
      </c>
      <c r="U12" s="410"/>
    </row>
    <row r="13" spans="1:21">
      <c r="A13" s="188" t="s">
        <v>1160</v>
      </c>
      <c r="B13" s="461">
        <f>B28</f>
        <v>7.0000000000000007E-2</v>
      </c>
      <c r="C13" s="188" t="s">
        <v>609</v>
      </c>
      <c r="D13" s="408" t="s">
        <v>2</v>
      </c>
      <c r="E13" s="188" t="s">
        <v>29</v>
      </c>
      <c r="F13" s="188" t="s">
        <v>14</v>
      </c>
      <c r="G13" s="188" t="s">
        <v>33</v>
      </c>
      <c r="H13" s="188">
        <v>1</v>
      </c>
      <c r="I13" s="415">
        <f t="shared" ref="I13:I14" si="0">B13</f>
        <v>7.0000000000000007E-2</v>
      </c>
      <c r="J13" s="188">
        <v>7.2284161474004766E-2</v>
      </c>
      <c r="K13" s="188" t="s">
        <v>31</v>
      </c>
      <c r="L13" s="188" t="s">
        <v>31</v>
      </c>
      <c r="M13" s="188" t="s">
        <v>31</v>
      </c>
      <c r="O13" s="401" t="s">
        <v>892</v>
      </c>
      <c r="P13" s="462">
        <f>B13*100</f>
        <v>7.0000000000000009</v>
      </c>
      <c r="R13" s="430">
        <v>0.57999999999999996</v>
      </c>
      <c r="S13" s="431" t="s">
        <v>610</v>
      </c>
      <c r="T13" s="430">
        <f>R13*S10</f>
        <v>2.5809999999999996E-2</v>
      </c>
      <c r="U13" s="431" t="s">
        <v>241</v>
      </c>
    </row>
    <row r="14" spans="1:21">
      <c r="A14" s="192" t="s">
        <v>1153</v>
      </c>
      <c r="B14" s="420">
        <f>T13</f>
        <v>2.5809999999999996E-2</v>
      </c>
      <c r="C14" s="188" t="s">
        <v>37</v>
      </c>
      <c r="D14" s="408" t="s">
        <v>2</v>
      </c>
      <c r="E14" s="188" t="s">
        <v>29</v>
      </c>
      <c r="F14" s="37" t="s">
        <v>14</v>
      </c>
      <c r="G14" s="188" t="s">
        <v>33</v>
      </c>
      <c r="H14" s="188">
        <v>1</v>
      </c>
      <c r="I14" s="415">
        <f t="shared" si="0"/>
        <v>2.5809999999999996E-2</v>
      </c>
      <c r="J14" s="188">
        <v>7.2284161474004766E-2</v>
      </c>
      <c r="K14" s="188" t="s">
        <v>31</v>
      </c>
      <c r="L14" s="188" t="s">
        <v>31</v>
      </c>
      <c r="M14" s="188" t="s">
        <v>31</v>
      </c>
      <c r="O14" s="432"/>
      <c r="P14" s="433"/>
    </row>
    <row r="15" spans="1:21" ht="14.45">
      <c r="A15" s="346" t="s">
        <v>799</v>
      </c>
      <c r="B15" s="188">
        <f>Q15</f>
        <v>4.7</v>
      </c>
      <c r="C15" s="188" t="s">
        <v>37</v>
      </c>
      <c r="D15" s="188" t="s">
        <v>40</v>
      </c>
      <c r="E15" s="188" t="s">
        <v>29</v>
      </c>
      <c r="F15" s="37" t="s">
        <v>74</v>
      </c>
      <c r="G15" s="188" t="s">
        <v>33</v>
      </c>
      <c r="H15" s="188">
        <v>2</v>
      </c>
      <c r="I15" s="188">
        <f t="shared" ref="I15" si="1">LN(B15)</f>
        <v>1.547562508716013</v>
      </c>
      <c r="J15" s="188">
        <v>7.2284161474004766E-2</v>
      </c>
      <c r="K15" s="188" t="s">
        <v>31</v>
      </c>
      <c r="L15" s="188" t="s">
        <v>31</v>
      </c>
      <c r="M15" s="188" t="s">
        <v>31</v>
      </c>
      <c r="O15" s="401" t="s">
        <v>241</v>
      </c>
      <c r="P15" s="138">
        <v>4.7</v>
      </c>
      <c r="Q15" s="188">
        <f>P15</f>
        <v>4.7</v>
      </c>
    </row>
    <row r="16" spans="1:21" ht="14.45">
      <c r="A16" s="88" t="s">
        <v>874</v>
      </c>
      <c r="B16" s="188">
        <f t="shared" ref="B16:B17" si="2">Q16</f>
        <v>2.0000000000000001E-4</v>
      </c>
      <c r="C16" s="188" t="s">
        <v>37</v>
      </c>
      <c r="D16" s="188" t="s">
        <v>40</v>
      </c>
      <c r="E16" s="188" t="s">
        <v>29</v>
      </c>
      <c r="F16" s="37" t="s">
        <v>59</v>
      </c>
      <c r="G16" s="188" t="s">
        <v>33</v>
      </c>
      <c r="H16" s="188">
        <v>2</v>
      </c>
      <c r="I16" s="188">
        <f>LN(B16)</f>
        <v>-8.5171931914162382</v>
      </c>
      <c r="J16" s="188">
        <v>7.2284161474004766E-2</v>
      </c>
      <c r="K16" s="188" t="s">
        <v>31</v>
      </c>
      <c r="L16" s="188" t="s">
        <v>31</v>
      </c>
      <c r="M16" s="188" t="s">
        <v>31</v>
      </c>
      <c r="O16" s="416" t="s">
        <v>538</v>
      </c>
      <c r="P16" s="141">
        <v>0.2</v>
      </c>
      <c r="Q16" s="188">
        <f>0.001*P16</f>
        <v>2.0000000000000001E-4</v>
      </c>
    </row>
    <row r="17" spans="1:20" ht="14.45">
      <c r="A17" s="88" t="s">
        <v>76</v>
      </c>
      <c r="B17" s="188">
        <f t="shared" si="2"/>
        <v>4.7000000000000002E-3</v>
      </c>
      <c r="C17" s="188" t="s">
        <v>42</v>
      </c>
      <c r="D17" s="188" t="s">
        <v>40</v>
      </c>
      <c r="E17" s="188" t="s">
        <v>29</v>
      </c>
      <c r="F17" s="37" t="s">
        <v>74</v>
      </c>
      <c r="G17" s="188" t="s">
        <v>33</v>
      </c>
      <c r="H17" s="188">
        <v>2</v>
      </c>
      <c r="I17" s="188">
        <f t="shared" ref="I17" si="3">LN(B17)</f>
        <v>-5.3601927702661243</v>
      </c>
      <c r="J17" s="188">
        <v>7.2284161474004766E-2</v>
      </c>
      <c r="K17" s="188" t="s">
        <v>31</v>
      </c>
      <c r="L17" s="188" t="s">
        <v>31</v>
      </c>
      <c r="M17" s="188" t="s">
        <v>31</v>
      </c>
      <c r="O17" s="418" t="s">
        <v>863</v>
      </c>
      <c r="P17" s="142">
        <v>4.7</v>
      </c>
      <c r="Q17" s="188">
        <f>0.001*P17</f>
        <v>4.7000000000000002E-3</v>
      </c>
    </row>
    <row r="18" spans="1:20" s="353" customFormat="1">
      <c r="A18" s="370" t="s">
        <v>5</v>
      </c>
      <c r="B18" s="371" t="s">
        <v>1160</v>
      </c>
    </row>
    <row r="19" spans="1:20">
      <c r="A19" s="346" t="s">
        <v>7</v>
      </c>
      <c r="B19" s="188" t="s">
        <v>786</v>
      </c>
      <c r="C19" s="345"/>
    </row>
    <row r="20" spans="1:20">
      <c r="A20" s="424" t="s">
        <v>9</v>
      </c>
      <c r="B20" s="188" t="s">
        <v>1161</v>
      </c>
      <c r="C20" s="345"/>
    </row>
    <row r="21" spans="1:20" ht="15.75" customHeight="1">
      <c r="A21" s="346" t="s">
        <v>11</v>
      </c>
      <c r="B21" s="347" t="s">
        <v>796</v>
      </c>
    </row>
    <row r="22" spans="1:20">
      <c r="A22" s="346" t="s">
        <v>13</v>
      </c>
      <c r="B22" s="188" t="s">
        <v>14</v>
      </c>
    </row>
    <row r="23" spans="1:20">
      <c r="A23" s="346" t="s">
        <v>15</v>
      </c>
      <c r="B23" s="415">
        <f>B28</f>
        <v>7.0000000000000007E-2</v>
      </c>
    </row>
    <row r="24" spans="1:20">
      <c r="A24" s="346" t="s">
        <v>16</v>
      </c>
      <c r="B24" s="188" t="s">
        <v>17</v>
      </c>
    </row>
    <row r="25" spans="1:20">
      <c r="A25" s="346" t="s">
        <v>18</v>
      </c>
      <c r="B25" s="188" t="s">
        <v>609</v>
      </c>
    </row>
    <row r="26" spans="1:20">
      <c r="A26" s="343" t="s">
        <v>19</v>
      </c>
    </row>
    <row r="27" spans="1:20">
      <c r="A27" s="344"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c r="T27" s="415"/>
    </row>
    <row r="28" spans="1:20">
      <c r="A28" s="188" t="s">
        <v>1160</v>
      </c>
      <c r="B28" s="415">
        <v>7.0000000000000007E-2</v>
      </c>
      <c r="C28" s="188" t="s">
        <v>609</v>
      </c>
      <c r="D28" s="408" t="s">
        <v>2</v>
      </c>
      <c r="E28" s="188" t="s">
        <v>29</v>
      </c>
      <c r="F28" s="188" t="s">
        <v>14</v>
      </c>
      <c r="G28" s="188" t="s">
        <v>30</v>
      </c>
      <c r="H28" s="188">
        <v>1</v>
      </c>
      <c r="I28" s="415">
        <f t="shared" ref="I28:I29" si="4">B28</f>
        <v>7.0000000000000007E-2</v>
      </c>
      <c r="J28" s="188">
        <v>7.2284161474004766E-2</v>
      </c>
      <c r="K28" s="188" t="s">
        <v>31</v>
      </c>
      <c r="L28" s="188" t="s">
        <v>31</v>
      </c>
      <c r="M28" s="188" t="s">
        <v>31</v>
      </c>
      <c r="O28" s="401" t="s">
        <v>892</v>
      </c>
      <c r="P28" s="414">
        <f>B28*100</f>
        <v>7.0000000000000009</v>
      </c>
    </row>
    <row r="29" spans="1:20">
      <c r="A29" s="188" t="s">
        <v>1162</v>
      </c>
      <c r="B29" s="415">
        <v>7.0000000000000007E-2</v>
      </c>
      <c r="C29" s="188" t="s">
        <v>609</v>
      </c>
      <c r="D29" s="408" t="s">
        <v>2</v>
      </c>
      <c r="E29" s="188" t="s">
        <v>29</v>
      </c>
      <c r="F29" s="188" t="s">
        <v>14</v>
      </c>
      <c r="G29" s="188" t="s">
        <v>33</v>
      </c>
      <c r="H29" s="188">
        <v>1</v>
      </c>
      <c r="I29" s="415">
        <f t="shared" si="4"/>
        <v>7.0000000000000007E-2</v>
      </c>
      <c r="J29" s="188">
        <v>7.2284161474004766E-2</v>
      </c>
      <c r="K29" s="188" t="s">
        <v>31</v>
      </c>
      <c r="L29" s="188" t="s">
        <v>31</v>
      </c>
      <c r="M29" s="188" t="s">
        <v>31</v>
      </c>
    </row>
    <row r="30" spans="1:20" ht="14.45">
      <c r="A30" s="346" t="s">
        <v>269</v>
      </c>
      <c r="B30" s="350">
        <f>P30</f>
        <v>0.27</v>
      </c>
      <c r="C30" s="188" t="s">
        <v>39</v>
      </c>
      <c r="D30" s="188" t="s">
        <v>40</v>
      </c>
      <c r="E30" s="188" t="s">
        <v>29</v>
      </c>
      <c r="F30" s="37" t="s">
        <v>35</v>
      </c>
      <c r="G30" s="188" t="s">
        <v>33</v>
      </c>
      <c r="H30" s="188">
        <v>2</v>
      </c>
      <c r="I30" s="188">
        <f t="shared" ref="I30:I31" si="5">LN(B30)</f>
        <v>-1.3093333199837622</v>
      </c>
      <c r="J30" s="188">
        <v>7.2284161474004766E-2</v>
      </c>
      <c r="K30" s="188" t="s">
        <v>31</v>
      </c>
      <c r="L30" s="188" t="s">
        <v>31</v>
      </c>
      <c r="M30" s="188" t="s">
        <v>31</v>
      </c>
      <c r="O30" s="401" t="s">
        <v>248</v>
      </c>
      <c r="P30" s="138">
        <v>0.27</v>
      </c>
    </row>
    <row r="31" spans="1:20" ht="14.45">
      <c r="A31" s="88" t="s">
        <v>310</v>
      </c>
      <c r="B31" s="188">
        <f>R31</f>
        <v>6.0000000000000001E-3</v>
      </c>
      <c r="C31" s="415" t="s">
        <v>37</v>
      </c>
      <c r="D31" s="188" t="s">
        <v>40</v>
      </c>
      <c r="E31" s="188" t="s">
        <v>29</v>
      </c>
      <c r="F31" s="188" t="s">
        <v>59</v>
      </c>
      <c r="G31" s="188" t="s">
        <v>33</v>
      </c>
      <c r="H31" s="188">
        <v>2</v>
      </c>
      <c r="I31" s="188">
        <f t="shared" si="5"/>
        <v>-5.1159958097540823</v>
      </c>
      <c r="J31" s="188">
        <v>7.2284161474004766E-2</v>
      </c>
      <c r="K31" s="188" t="s">
        <v>31</v>
      </c>
      <c r="L31" s="188" t="s">
        <v>31</v>
      </c>
      <c r="M31" s="188" t="s">
        <v>31</v>
      </c>
      <c r="O31" s="401" t="s">
        <v>580</v>
      </c>
      <c r="P31" s="138">
        <v>6</v>
      </c>
      <c r="Q31" s="188" t="s">
        <v>241</v>
      </c>
      <c r="R31" s="188">
        <f>P31*0.001</f>
        <v>6.0000000000000001E-3</v>
      </c>
    </row>
    <row r="32" spans="1:20" ht="14.45">
      <c r="A32" s="112" t="s">
        <v>871</v>
      </c>
      <c r="B32" s="188">
        <f t="shared" ref="B32:B33" si="6">R32</f>
        <v>1.0999999999999999E-2</v>
      </c>
      <c r="C32" s="188" t="s">
        <v>37</v>
      </c>
      <c r="D32" s="188" t="s">
        <v>40</v>
      </c>
      <c r="E32" s="188" t="s">
        <v>29</v>
      </c>
      <c r="F32" s="37" t="s">
        <v>35</v>
      </c>
      <c r="G32" s="188" t="s">
        <v>33</v>
      </c>
      <c r="H32" s="188">
        <v>2</v>
      </c>
      <c r="I32" s="188">
        <f>LN(B32)</f>
        <v>-4.5098600061837661</v>
      </c>
      <c r="J32" s="188">
        <v>7.2284161474004766E-2</v>
      </c>
      <c r="K32" s="188" t="s">
        <v>31</v>
      </c>
      <c r="L32" s="188" t="s">
        <v>31</v>
      </c>
      <c r="M32" s="188" t="s">
        <v>31</v>
      </c>
      <c r="O32" s="401" t="s">
        <v>580</v>
      </c>
      <c r="P32" s="138">
        <v>11</v>
      </c>
      <c r="Q32" s="188" t="s">
        <v>241</v>
      </c>
      <c r="R32" s="188">
        <f>P32*0.001</f>
        <v>1.0999999999999999E-2</v>
      </c>
    </row>
    <row r="33" spans="1:20" ht="14.45">
      <c r="A33" s="346" t="s">
        <v>799</v>
      </c>
      <c r="B33" s="188">
        <f t="shared" si="6"/>
        <v>10.1</v>
      </c>
      <c r="C33" s="188" t="s">
        <v>37</v>
      </c>
      <c r="D33" s="188" t="s">
        <v>40</v>
      </c>
      <c r="E33" s="188" t="s">
        <v>29</v>
      </c>
      <c r="F33" s="37" t="s">
        <v>74</v>
      </c>
      <c r="G33" s="188" t="s">
        <v>33</v>
      </c>
      <c r="H33" s="188">
        <v>2</v>
      </c>
      <c r="I33" s="188">
        <f t="shared" ref="I33:I34" si="7">LN(B33)</f>
        <v>2.3125354238472138</v>
      </c>
      <c r="J33" s="188">
        <v>7.2284161474004766E-2</v>
      </c>
      <c r="K33" s="188" t="s">
        <v>31</v>
      </c>
      <c r="L33" s="188" t="s">
        <v>31</v>
      </c>
      <c r="M33" s="188" t="s">
        <v>31</v>
      </c>
      <c r="O33" s="401" t="s">
        <v>241</v>
      </c>
      <c r="P33" s="138">
        <v>10.1</v>
      </c>
      <c r="Q33" s="188" t="s">
        <v>241</v>
      </c>
      <c r="R33" s="188">
        <f>P33</f>
        <v>10.1</v>
      </c>
    </row>
    <row r="34" spans="1:20" ht="14.45">
      <c r="A34" s="88" t="s">
        <v>76</v>
      </c>
      <c r="B34" s="188">
        <f>R34</f>
        <v>1.01E-2</v>
      </c>
      <c r="C34" s="188" t="s">
        <v>42</v>
      </c>
      <c r="D34" s="188" t="s">
        <v>40</v>
      </c>
      <c r="E34" s="188" t="s">
        <v>29</v>
      </c>
      <c r="F34" s="37" t="s">
        <v>74</v>
      </c>
      <c r="G34" s="188" t="s">
        <v>33</v>
      </c>
      <c r="H34" s="188">
        <v>2</v>
      </c>
      <c r="I34" s="188">
        <f t="shared" si="7"/>
        <v>-4.595219855134923</v>
      </c>
      <c r="J34" s="188">
        <v>7.2284161474004766E-2</v>
      </c>
      <c r="K34" s="188" t="s">
        <v>31</v>
      </c>
      <c r="L34" s="188" t="s">
        <v>31</v>
      </c>
      <c r="M34" s="188" t="s">
        <v>31</v>
      </c>
      <c r="O34" s="418" t="s">
        <v>863</v>
      </c>
      <c r="P34" s="142">
        <v>10.1</v>
      </c>
      <c r="Q34" s="188" t="s">
        <v>251</v>
      </c>
      <c r="R34" s="188">
        <f>0.001*P34</f>
        <v>1.01E-2</v>
      </c>
    </row>
    <row r="35" spans="1:20" s="353" customFormat="1">
      <c r="A35" s="370" t="s">
        <v>5</v>
      </c>
      <c r="B35" s="371" t="s">
        <v>1162</v>
      </c>
    </row>
    <row r="36" spans="1:20">
      <c r="A36" s="346" t="s">
        <v>7</v>
      </c>
      <c r="B36" s="188" t="s">
        <v>786</v>
      </c>
      <c r="C36" s="345"/>
    </row>
    <row r="37" spans="1:20">
      <c r="A37" s="424" t="s">
        <v>9</v>
      </c>
      <c r="B37" s="188" t="s">
        <v>1163</v>
      </c>
      <c r="C37" s="345"/>
    </row>
    <row r="38" spans="1:20" ht="15.75" customHeight="1">
      <c r="A38" s="346" t="s">
        <v>11</v>
      </c>
      <c r="B38" s="347" t="s">
        <v>796</v>
      </c>
    </row>
    <row r="39" spans="1:20">
      <c r="A39" s="346" t="s">
        <v>13</v>
      </c>
      <c r="B39" s="188" t="s">
        <v>14</v>
      </c>
    </row>
    <row r="40" spans="1:20">
      <c r="A40" s="346" t="s">
        <v>15</v>
      </c>
      <c r="B40" s="415">
        <f>B45</f>
        <v>7.0000000000000007E-2</v>
      </c>
    </row>
    <row r="41" spans="1:20">
      <c r="A41" s="346" t="s">
        <v>16</v>
      </c>
      <c r="B41" s="188" t="s">
        <v>17</v>
      </c>
    </row>
    <row r="42" spans="1:20">
      <c r="A42" s="346" t="s">
        <v>18</v>
      </c>
      <c r="B42" s="188" t="s">
        <v>609</v>
      </c>
    </row>
    <row r="43" spans="1:20">
      <c r="A43" s="343" t="s">
        <v>19</v>
      </c>
    </row>
    <row r="44" spans="1:20">
      <c r="A44" s="344" t="s">
        <v>20</v>
      </c>
      <c r="B44" s="344" t="s">
        <v>21</v>
      </c>
      <c r="C44" s="344" t="s">
        <v>18</v>
      </c>
      <c r="D44" s="344" t="s">
        <v>22</v>
      </c>
      <c r="E44" s="344" t="s">
        <v>7</v>
      </c>
      <c r="F44" s="344" t="s">
        <v>13</v>
      </c>
      <c r="G44" s="344" t="s">
        <v>16</v>
      </c>
      <c r="H44" s="344" t="s">
        <v>23</v>
      </c>
      <c r="I44" s="344" t="s">
        <v>24</v>
      </c>
      <c r="J44" s="344" t="s">
        <v>25</v>
      </c>
      <c r="K44" s="344" t="s">
        <v>26</v>
      </c>
      <c r="L44" s="344" t="s">
        <v>27</v>
      </c>
      <c r="M44" s="344" t="s">
        <v>28</v>
      </c>
      <c r="N44" s="344" t="s">
        <v>11</v>
      </c>
      <c r="T44" s="415"/>
    </row>
    <row r="45" spans="1:20">
      <c r="A45" s="188" t="s">
        <v>1162</v>
      </c>
      <c r="B45" s="415">
        <f>B29</f>
        <v>7.0000000000000007E-2</v>
      </c>
      <c r="C45" s="188" t="s">
        <v>609</v>
      </c>
      <c r="D45" s="408" t="s">
        <v>2</v>
      </c>
      <c r="E45" s="188" t="s">
        <v>29</v>
      </c>
      <c r="F45" s="188" t="s">
        <v>14</v>
      </c>
      <c r="G45" s="188" t="s">
        <v>30</v>
      </c>
      <c r="H45" s="188">
        <v>1</v>
      </c>
      <c r="I45" s="415">
        <f t="shared" ref="I45:I47" si="8">B45</f>
        <v>7.0000000000000007E-2</v>
      </c>
      <c r="J45" s="188" t="s">
        <v>31</v>
      </c>
      <c r="K45" s="188" t="s">
        <v>31</v>
      </c>
      <c r="L45" s="188" t="s">
        <v>31</v>
      </c>
      <c r="M45" s="188" t="s">
        <v>31</v>
      </c>
      <c r="Q45" s="188" t="s">
        <v>1005</v>
      </c>
    </row>
    <row r="46" spans="1:20">
      <c r="A46" s="88" t="s">
        <v>897</v>
      </c>
      <c r="B46" s="188">
        <v>0.81</v>
      </c>
      <c r="C46" s="188" t="s">
        <v>37</v>
      </c>
      <c r="D46" s="188" t="s">
        <v>40</v>
      </c>
      <c r="E46" s="188" t="s">
        <v>29</v>
      </c>
      <c r="F46" s="188" t="s">
        <v>82</v>
      </c>
      <c r="G46" s="188" t="s">
        <v>33</v>
      </c>
      <c r="H46" s="188">
        <v>1</v>
      </c>
      <c r="I46" s="415">
        <f t="shared" si="8"/>
        <v>0.81</v>
      </c>
      <c r="J46" s="188" t="s">
        <v>31</v>
      </c>
      <c r="K46" s="188" t="s">
        <v>31</v>
      </c>
      <c r="L46" s="188" t="s">
        <v>31</v>
      </c>
      <c r="M46" s="188" t="s">
        <v>31</v>
      </c>
    </row>
    <row r="47" spans="1:20">
      <c r="A47" s="88" t="s">
        <v>898</v>
      </c>
      <c r="B47" s="188">
        <v>0.81</v>
      </c>
      <c r="C47" s="188" t="s">
        <v>37</v>
      </c>
      <c r="D47" s="188" t="s">
        <v>40</v>
      </c>
      <c r="E47" s="188" t="s">
        <v>29</v>
      </c>
      <c r="F47" s="188" t="s">
        <v>59</v>
      </c>
      <c r="G47" s="188" t="s">
        <v>33</v>
      </c>
      <c r="H47" s="188">
        <v>1</v>
      </c>
      <c r="I47" s="415">
        <f t="shared" si="8"/>
        <v>0.81</v>
      </c>
      <c r="J47" s="188" t="s">
        <v>31</v>
      </c>
      <c r="K47" s="188" t="s">
        <v>31</v>
      </c>
      <c r="L47" s="188" t="s">
        <v>31</v>
      </c>
      <c r="M47" s="188" t="s">
        <v>31</v>
      </c>
    </row>
  </sheetData>
  <pageMargins left="0.7" right="0.7" top="0.75" bottom="0.75" header="0.3" footer="0.3"/>
  <pageSetup paperSize="9"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40CB6-8612-4DED-9FCE-841A1BBB80B4}">
  <sheetPr>
    <tabColor rgb="FFFFFF00"/>
  </sheetPr>
  <dimension ref="A1:Y57"/>
  <sheetViews>
    <sheetView zoomScaleNormal="100" workbookViewId="0">
      <selection activeCell="A12" sqref="A12"/>
    </sheetView>
  </sheetViews>
  <sheetFormatPr defaultColWidth="9.140625" defaultRowHeight="12.95"/>
  <cols>
    <col min="1" max="1" width="74" style="188" customWidth="1"/>
    <col min="2" max="4" width="9.140625" style="188"/>
    <col min="5" max="5" width="34.28515625" style="188" customWidth="1"/>
    <col min="6" max="6" width="16.7109375" style="188" customWidth="1"/>
    <col min="7" max="7" width="9.140625" style="188"/>
    <col min="8" max="8" width="14.28515625" style="188" customWidth="1"/>
    <col min="9" max="16384" width="9.140625" style="188"/>
  </cols>
  <sheetData>
    <row r="1" spans="1:21">
      <c r="A1" s="188" t="s">
        <v>0</v>
      </c>
      <c r="B1" s="188">
        <v>14</v>
      </c>
      <c r="R1" s="192"/>
      <c r="S1" s="421"/>
    </row>
    <row r="2" spans="1:21" s="353" customFormat="1">
      <c r="A2" s="370" t="s">
        <v>5</v>
      </c>
      <c r="B2" s="371" t="s">
        <v>1142</v>
      </c>
      <c r="C2" s="371"/>
      <c r="R2" s="436"/>
      <c r="S2" s="437"/>
    </row>
    <row r="3" spans="1:21">
      <c r="A3" s="346" t="s">
        <v>7</v>
      </c>
      <c r="B3" s="188" t="s">
        <v>786</v>
      </c>
      <c r="D3" s="345"/>
      <c r="R3" s="192"/>
      <c r="S3" s="421"/>
    </row>
    <row r="4" spans="1:21">
      <c r="A4" s="424" t="s">
        <v>9</v>
      </c>
      <c r="B4" s="188" t="s">
        <v>1164</v>
      </c>
      <c r="D4" s="345"/>
    </row>
    <row r="5" spans="1:21" ht="15.75" customHeight="1">
      <c r="A5" s="346" t="s">
        <v>11</v>
      </c>
      <c r="B5" s="347" t="s">
        <v>796</v>
      </c>
      <c r="C5" s="347"/>
    </row>
    <row r="6" spans="1:21">
      <c r="A6" s="346" t="s">
        <v>13</v>
      </c>
      <c r="B6" s="188" t="s">
        <v>14</v>
      </c>
    </row>
    <row r="7" spans="1:21">
      <c r="A7" s="346" t="s">
        <v>15</v>
      </c>
      <c r="B7" s="358">
        <f>B12</f>
        <v>5.25</v>
      </c>
      <c r="C7" s="358"/>
    </row>
    <row r="8" spans="1:21">
      <c r="A8" s="346" t="s">
        <v>16</v>
      </c>
      <c r="B8" s="188" t="s">
        <v>17</v>
      </c>
    </row>
    <row r="9" spans="1:21">
      <c r="A9" s="346" t="s">
        <v>18</v>
      </c>
      <c r="B9" s="188" t="str">
        <f>D12</f>
        <v>kilogram</v>
      </c>
    </row>
    <row r="10" spans="1:21">
      <c r="A10" s="343" t="s">
        <v>19</v>
      </c>
    </row>
    <row r="11" spans="1:21">
      <c r="A11" s="344" t="s">
        <v>20</v>
      </c>
      <c r="B11" s="344" t="s">
        <v>21</v>
      </c>
      <c r="C11" s="382" t="s">
        <v>217</v>
      </c>
      <c r="D11" s="344" t="s">
        <v>18</v>
      </c>
      <c r="E11" s="344" t="s">
        <v>22</v>
      </c>
      <c r="F11" s="344" t="s">
        <v>7</v>
      </c>
      <c r="G11" s="344" t="s">
        <v>13</v>
      </c>
      <c r="H11" s="344" t="s">
        <v>16</v>
      </c>
      <c r="I11" s="344" t="s">
        <v>23</v>
      </c>
      <c r="J11" s="344" t="s">
        <v>24</v>
      </c>
      <c r="K11" s="344" t="s">
        <v>25</v>
      </c>
      <c r="L11" s="344" t="s">
        <v>26</v>
      </c>
      <c r="M11" s="344" t="s">
        <v>27</v>
      </c>
      <c r="N11" s="344" t="s">
        <v>28</v>
      </c>
      <c r="O11" s="344" t="s">
        <v>11</v>
      </c>
      <c r="U11" s="415"/>
    </row>
    <row r="12" spans="1:21">
      <c r="A12" s="188" t="s">
        <v>1142</v>
      </c>
      <c r="B12" s="358">
        <f>B43</f>
        <v>5.25</v>
      </c>
      <c r="D12" s="188" t="s">
        <v>37</v>
      </c>
      <c r="E12" s="408" t="s">
        <v>2</v>
      </c>
      <c r="F12" s="188" t="s">
        <v>29</v>
      </c>
      <c r="G12" s="188" t="s">
        <v>14</v>
      </c>
      <c r="H12" s="188" t="s">
        <v>30</v>
      </c>
      <c r="I12" s="188">
        <v>1</v>
      </c>
      <c r="J12" s="415">
        <f>B12</f>
        <v>5.25</v>
      </c>
      <c r="K12" s="188" t="s">
        <v>31</v>
      </c>
      <c r="L12" s="188" t="s">
        <v>31</v>
      </c>
      <c r="M12" s="188" t="s">
        <v>31</v>
      </c>
      <c r="N12" s="188" t="s">
        <v>31</v>
      </c>
      <c r="P12" s="192"/>
      <c r="Q12" s="421"/>
    </row>
    <row r="13" spans="1:21">
      <c r="A13" s="188" t="s">
        <v>1165</v>
      </c>
      <c r="B13" s="188">
        <v>1</v>
      </c>
      <c r="D13" s="188" t="s">
        <v>18</v>
      </c>
      <c r="E13" s="408" t="s">
        <v>2</v>
      </c>
      <c r="F13" s="188" t="s">
        <v>29</v>
      </c>
      <c r="G13" s="188" t="s">
        <v>14</v>
      </c>
      <c r="H13" s="188" t="s">
        <v>33</v>
      </c>
      <c r="I13" s="188">
        <v>1</v>
      </c>
      <c r="J13" s="415">
        <f>B13</f>
        <v>1</v>
      </c>
      <c r="K13" s="188" t="s">
        <v>31</v>
      </c>
      <c r="L13" s="188" t="s">
        <v>31</v>
      </c>
      <c r="M13" s="188" t="s">
        <v>31</v>
      </c>
      <c r="N13" s="188" t="s">
        <v>31</v>
      </c>
    </row>
    <row r="14" spans="1:21">
      <c r="A14" s="346" t="s">
        <v>269</v>
      </c>
      <c r="B14" s="350">
        <f>Q14</f>
        <v>0.25</v>
      </c>
      <c r="C14" s="350"/>
      <c r="D14" s="188" t="s">
        <v>39</v>
      </c>
      <c r="E14" s="188" t="s">
        <v>40</v>
      </c>
      <c r="F14" s="188" t="s">
        <v>29</v>
      </c>
      <c r="G14" s="37" t="s">
        <v>35</v>
      </c>
      <c r="H14" s="188" t="s">
        <v>33</v>
      </c>
      <c r="I14" s="188">
        <v>2</v>
      </c>
      <c r="J14" s="188">
        <f t="shared" ref="J14:J18" si="0">LN(B14)</f>
        <v>-1.3862943611198906</v>
      </c>
      <c r="K14" s="464">
        <v>9.6046863561492793E-2</v>
      </c>
      <c r="L14" s="188" t="s">
        <v>31</v>
      </c>
      <c r="M14" s="188" t="s">
        <v>31</v>
      </c>
      <c r="N14" s="188" t="s">
        <v>31</v>
      </c>
      <c r="P14" s="401" t="s">
        <v>248</v>
      </c>
      <c r="Q14" s="414">
        <v>0.25</v>
      </c>
    </row>
    <row r="15" spans="1:21">
      <c r="A15" s="346" t="s">
        <v>269</v>
      </c>
      <c r="B15" s="350">
        <f>Q15</f>
        <v>0.5</v>
      </c>
      <c r="C15" s="350"/>
      <c r="D15" s="188" t="s">
        <v>39</v>
      </c>
      <c r="E15" s="188" t="s">
        <v>40</v>
      </c>
      <c r="F15" s="188" t="s">
        <v>29</v>
      </c>
      <c r="G15" s="37" t="s">
        <v>59</v>
      </c>
      <c r="H15" s="188" t="s">
        <v>33</v>
      </c>
      <c r="I15" s="188">
        <v>2</v>
      </c>
      <c r="J15" s="188">
        <f t="shared" si="0"/>
        <v>-0.69314718055994529</v>
      </c>
      <c r="K15" s="464">
        <v>9.6046863561492793E-2</v>
      </c>
      <c r="L15" s="188" t="s">
        <v>31</v>
      </c>
      <c r="M15" s="188" t="s">
        <v>31</v>
      </c>
      <c r="N15" s="188" t="s">
        <v>31</v>
      </c>
      <c r="P15" s="401" t="s">
        <v>248</v>
      </c>
      <c r="Q15" s="414">
        <v>0.5</v>
      </c>
    </row>
    <row r="16" spans="1:21">
      <c r="A16" s="88" t="s">
        <v>901</v>
      </c>
      <c r="B16" s="188">
        <f>S16</f>
        <v>6.5000000000000002E-2</v>
      </c>
      <c r="D16" s="188" t="s">
        <v>37</v>
      </c>
      <c r="E16" s="188" t="s">
        <v>40</v>
      </c>
      <c r="F16" s="188" t="s">
        <v>29</v>
      </c>
      <c r="G16" s="188" t="s">
        <v>35</v>
      </c>
      <c r="H16" s="188" t="s">
        <v>33</v>
      </c>
      <c r="I16" s="188">
        <v>2</v>
      </c>
      <c r="J16" s="188">
        <f t="shared" si="0"/>
        <v>-2.7333680090865</v>
      </c>
      <c r="K16" s="464">
        <v>9.6046863561492793E-2</v>
      </c>
      <c r="P16" s="401" t="s">
        <v>580</v>
      </c>
      <c r="Q16" s="414">
        <v>65</v>
      </c>
      <c r="R16" s="401" t="s">
        <v>241</v>
      </c>
      <c r="S16" s="414">
        <f>0.001*Q16</f>
        <v>6.5000000000000002E-2</v>
      </c>
    </row>
    <row r="17" spans="1:21">
      <c r="A17" s="88" t="s">
        <v>902</v>
      </c>
      <c r="B17" s="188">
        <f>Q17</f>
        <v>1.2</v>
      </c>
      <c r="D17" s="188" t="s">
        <v>37</v>
      </c>
      <c r="E17" s="188" t="s">
        <v>40</v>
      </c>
      <c r="F17" s="188" t="s">
        <v>29</v>
      </c>
      <c r="G17" s="37" t="s">
        <v>74</v>
      </c>
      <c r="H17" s="188" t="s">
        <v>33</v>
      </c>
      <c r="I17" s="188">
        <v>2</v>
      </c>
      <c r="J17" s="188">
        <f t="shared" si="0"/>
        <v>0.18232155679395459</v>
      </c>
      <c r="K17" s="464">
        <v>9.6046863561492793E-2</v>
      </c>
      <c r="P17" s="401" t="s">
        <v>241</v>
      </c>
      <c r="Q17" s="414">
        <v>1.2</v>
      </c>
    </row>
    <row r="18" spans="1:21">
      <c r="A18" s="88" t="s">
        <v>738</v>
      </c>
      <c r="B18" s="188">
        <f>S18</f>
        <v>6.5000000000000002E-2</v>
      </c>
      <c r="D18" s="188" t="s">
        <v>37</v>
      </c>
      <c r="E18" s="188" t="s">
        <v>40</v>
      </c>
      <c r="F18" s="188" t="s">
        <v>29</v>
      </c>
      <c r="G18" s="37" t="s">
        <v>74</v>
      </c>
      <c r="H18" s="188" t="s">
        <v>33</v>
      </c>
      <c r="I18" s="188">
        <v>2</v>
      </c>
      <c r="J18" s="188">
        <f t="shared" si="0"/>
        <v>-2.7333680090865</v>
      </c>
      <c r="K18" s="464">
        <v>9.6046863561492793E-2</v>
      </c>
      <c r="P18" s="401" t="s">
        <v>580</v>
      </c>
      <c r="Q18" s="419">
        <v>65</v>
      </c>
      <c r="R18" s="401" t="s">
        <v>241</v>
      </c>
      <c r="S18" s="414">
        <f>0.001*Q18</f>
        <v>6.5000000000000002E-2</v>
      </c>
    </row>
    <row r="19" spans="1:21" s="353" customFormat="1">
      <c r="A19" s="370" t="s">
        <v>5</v>
      </c>
      <c r="B19" s="371" t="str">
        <f>A29</f>
        <v>production of machined casing, mass scaled activities, motor traction drive inverter DCAC, PEMFC-bat, Long-Term</v>
      </c>
      <c r="C19" s="371"/>
    </row>
    <row r="20" spans="1:21">
      <c r="A20" s="346" t="s">
        <v>7</v>
      </c>
      <c r="B20" s="188" t="s">
        <v>786</v>
      </c>
      <c r="D20" s="345"/>
    </row>
    <row r="21" spans="1:21">
      <c r="A21" s="424" t="s">
        <v>9</v>
      </c>
      <c r="B21" s="188" t="s">
        <v>1166</v>
      </c>
      <c r="D21" s="345"/>
    </row>
    <row r="22" spans="1:21" ht="15.75" customHeight="1">
      <c r="A22" s="346" t="s">
        <v>11</v>
      </c>
      <c r="B22" s="347" t="s">
        <v>796</v>
      </c>
      <c r="C22" s="347"/>
    </row>
    <row r="23" spans="1:21">
      <c r="A23" s="346" t="s">
        <v>13</v>
      </c>
      <c r="B23" s="188" t="s">
        <v>14</v>
      </c>
    </row>
    <row r="24" spans="1:21">
      <c r="A24" s="346" t="s">
        <v>15</v>
      </c>
      <c r="B24" s="358">
        <v>1</v>
      </c>
      <c r="C24" s="358"/>
    </row>
    <row r="25" spans="1:21">
      <c r="A25" s="346" t="s">
        <v>16</v>
      </c>
      <c r="B25" s="188" t="s">
        <v>17</v>
      </c>
    </row>
    <row r="26" spans="1:21">
      <c r="A26" s="346" t="s">
        <v>18</v>
      </c>
      <c r="B26" s="188" t="s">
        <v>18</v>
      </c>
    </row>
    <row r="27" spans="1:21">
      <c r="A27" s="343" t="s">
        <v>19</v>
      </c>
    </row>
    <row r="28" spans="1:21">
      <c r="A28" s="344" t="s">
        <v>20</v>
      </c>
      <c r="B28" s="344" t="s">
        <v>21</v>
      </c>
      <c r="C28" s="382" t="s">
        <v>217</v>
      </c>
      <c r="D28" s="344" t="s">
        <v>18</v>
      </c>
      <c r="E28" s="344" t="s">
        <v>22</v>
      </c>
      <c r="F28" s="344" t="s">
        <v>7</v>
      </c>
      <c r="G28" s="344" t="s">
        <v>13</v>
      </c>
      <c r="H28" s="344" t="s">
        <v>16</v>
      </c>
      <c r="I28" s="344" t="s">
        <v>23</v>
      </c>
      <c r="J28" s="344" t="s">
        <v>24</v>
      </c>
      <c r="K28" s="344" t="s">
        <v>25</v>
      </c>
      <c r="L28" s="344" t="s">
        <v>26</v>
      </c>
      <c r="M28" s="344" t="s">
        <v>27</v>
      </c>
      <c r="N28" s="344" t="s">
        <v>28</v>
      </c>
      <c r="O28" s="344" t="s">
        <v>11</v>
      </c>
      <c r="U28" s="415"/>
    </row>
    <row r="29" spans="1:21">
      <c r="A29" s="188" t="s">
        <v>1165</v>
      </c>
      <c r="B29" s="188">
        <v>1</v>
      </c>
      <c r="D29" s="188" t="s">
        <v>18</v>
      </c>
      <c r="E29" s="408" t="s">
        <v>2</v>
      </c>
      <c r="F29" s="188" t="s">
        <v>29</v>
      </c>
      <c r="G29" s="188" t="s">
        <v>14</v>
      </c>
      <c r="H29" s="188" t="s">
        <v>30</v>
      </c>
      <c r="I29" s="188">
        <v>1</v>
      </c>
      <c r="J29" s="415">
        <f>B29</f>
        <v>1</v>
      </c>
      <c r="K29" s="188" t="s">
        <v>31</v>
      </c>
      <c r="L29" s="188" t="s">
        <v>31</v>
      </c>
      <c r="M29" s="188" t="s">
        <v>31</v>
      </c>
      <c r="N29" s="188" t="s">
        <v>31</v>
      </c>
    </row>
    <row r="30" spans="1:21">
      <c r="A30" s="188" t="s">
        <v>1167</v>
      </c>
      <c r="B30" s="358">
        <f>B43</f>
        <v>5.25</v>
      </c>
      <c r="D30" s="188" t="s">
        <v>37</v>
      </c>
      <c r="E30" s="408" t="s">
        <v>2</v>
      </c>
      <c r="F30" s="188" t="s">
        <v>29</v>
      </c>
      <c r="G30" s="188" t="s">
        <v>14</v>
      </c>
      <c r="H30" s="188" t="s">
        <v>33</v>
      </c>
      <c r="I30" s="188">
        <v>2</v>
      </c>
      <c r="J30" s="188">
        <f>LN(B30)</f>
        <v>1.6582280766035324</v>
      </c>
      <c r="K30" s="188">
        <v>0.10307764064044142</v>
      </c>
      <c r="L30" s="188" t="s">
        <v>31</v>
      </c>
      <c r="M30" s="188" t="s">
        <v>31</v>
      </c>
      <c r="N30" s="188" t="s">
        <v>31</v>
      </c>
      <c r="Q30" s="462">
        <v>5.25</v>
      </c>
    </row>
    <row r="31" spans="1:21" ht="14.45">
      <c r="A31" s="346" t="s">
        <v>269</v>
      </c>
      <c r="B31" s="350">
        <f>Q31</f>
        <v>0.3</v>
      </c>
      <c r="C31" s="350"/>
      <c r="D31" s="188" t="s">
        <v>39</v>
      </c>
      <c r="E31" s="188" t="s">
        <v>40</v>
      </c>
      <c r="F31" s="188" t="s">
        <v>29</v>
      </c>
      <c r="G31" s="37" t="s">
        <v>59</v>
      </c>
      <c r="H31" s="188" t="s">
        <v>33</v>
      </c>
      <c r="I31" s="188">
        <v>2</v>
      </c>
      <c r="J31" s="188">
        <f t="shared" ref="J31:J37" si="1">LN(B31)</f>
        <v>-1.2039728043259361</v>
      </c>
      <c r="K31" s="188">
        <v>9.6046863561492793E-2</v>
      </c>
      <c r="L31" s="188" t="s">
        <v>31</v>
      </c>
      <c r="M31" s="188" t="s">
        <v>31</v>
      </c>
      <c r="N31" s="188" t="s">
        <v>31</v>
      </c>
      <c r="P31" s="401" t="s">
        <v>248</v>
      </c>
      <c r="Q31" s="138">
        <v>0.3</v>
      </c>
    </row>
    <row r="32" spans="1:21" ht="14.45">
      <c r="A32" s="88" t="s">
        <v>901</v>
      </c>
      <c r="B32" s="188">
        <f>S32</f>
        <v>7.0000000000000007E-2</v>
      </c>
      <c r="D32" s="188" t="s">
        <v>37</v>
      </c>
      <c r="E32" s="188" t="s">
        <v>40</v>
      </c>
      <c r="F32" s="188" t="s">
        <v>29</v>
      </c>
      <c r="G32" s="188" t="s">
        <v>35</v>
      </c>
      <c r="H32" s="188" t="s">
        <v>33</v>
      </c>
      <c r="I32" s="188">
        <v>2</v>
      </c>
      <c r="J32" s="188">
        <f t="shared" si="1"/>
        <v>-2.6592600369327779</v>
      </c>
      <c r="K32" s="188">
        <v>9.6046863561492793E-2</v>
      </c>
      <c r="L32" s="188" t="s">
        <v>31</v>
      </c>
      <c r="M32" s="188" t="s">
        <v>31</v>
      </c>
      <c r="N32" s="188" t="s">
        <v>31</v>
      </c>
      <c r="P32" s="401" t="s">
        <v>580</v>
      </c>
      <c r="Q32" s="138">
        <v>70</v>
      </c>
      <c r="R32" s="401" t="s">
        <v>241</v>
      </c>
      <c r="S32" s="414">
        <f>0.001*Q32</f>
        <v>7.0000000000000007E-2</v>
      </c>
    </row>
    <row r="33" spans="1:21" ht="14.45">
      <c r="A33" s="88" t="s">
        <v>902</v>
      </c>
      <c r="B33" s="188">
        <f>Q33</f>
        <v>1.3</v>
      </c>
      <c r="D33" s="188" t="s">
        <v>37</v>
      </c>
      <c r="E33" s="188" t="s">
        <v>40</v>
      </c>
      <c r="F33" s="188" t="s">
        <v>29</v>
      </c>
      <c r="G33" s="37" t="s">
        <v>74</v>
      </c>
      <c r="H33" s="188" t="s">
        <v>33</v>
      </c>
      <c r="I33" s="188">
        <v>2</v>
      </c>
      <c r="J33" s="188">
        <f t="shared" si="1"/>
        <v>0.26236426446749106</v>
      </c>
      <c r="K33" s="188">
        <v>9.6046863561492793E-2</v>
      </c>
      <c r="L33" s="188" t="s">
        <v>31</v>
      </c>
      <c r="M33" s="188" t="s">
        <v>31</v>
      </c>
      <c r="N33" s="188" t="s">
        <v>31</v>
      </c>
      <c r="P33" s="401" t="s">
        <v>241</v>
      </c>
      <c r="Q33" s="138">
        <v>1.3</v>
      </c>
    </row>
    <row r="34" spans="1:21">
      <c r="A34" s="438" t="s">
        <v>265</v>
      </c>
      <c r="B34" s="188">
        <f>S35</f>
        <v>0.26500000000000001</v>
      </c>
      <c r="C34" s="192" t="s">
        <v>266</v>
      </c>
      <c r="D34" s="188" t="s">
        <v>37</v>
      </c>
      <c r="E34" s="188" t="s">
        <v>40</v>
      </c>
      <c r="F34" s="188" t="s">
        <v>29</v>
      </c>
      <c r="G34" s="37" t="s">
        <v>35</v>
      </c>
      <c r="H34" s="188" t="s">
        <v>33</v>
      </c>
      <c r="I34" s="188">
        <v>2</v>
      </c>
      <c r="J34" s="188">
        <f t="shared" si="1"/>
        <v>-1.3280254529959148</v>
      </c>
      <c r="K34" s="188">
        <v>9.6046863561492793E-2</v>
      </c>
      <c r="L34" s="188" t="s">
        <v>31</v>
      </c>
      <c r="M34" s="188" t="s">
        <v>31</v>
      </c>
      <c r="N34" s="188" t="s">
        <v>31</v>
      </c>
      <c r="P34" s="401"/>
      <c r="Q34" s="414"/>
    </row>
    <row r="35" spans="1:21" ht="14.45">
      <c r="A35" s="192" t="s">
        <v>263</v>
      </c>
      <c r="B35" s="188">
        <f>S35</f>
        <v>0.26500000000000001</v>
      </c>
      <c r="D35" s="188" t="s">
        <v>37</v>
      </c>
      <c r="E35" s="188" t="s">
        <v>40</v>
      </c>
      <c r="F35" s="188" t="s">
        <v>29</v>
      </c>
      <c r="G35" s="188" t="s">
        <v>35</v>
      </c>
      <c r="H35" s="188" t="s">
        <v>33</v>
      </c>
      <c r="I35" s="188">
        <v>2</v>
      </c>
      <c r="J35" s="188">
        <f t="shared" si="1"/>
        <v>-1.3280254529959148</v>
      </c>
      <c r="K35" s="188">
        <v>9.6046863561492793E-2</v>
      </c>
      <c r="L35" s="188" t="s">
        <v>31</v>
      </c>
      <c r="M35" s="188" t="s">
        <v>31</v>
      </c>
      <c r="N35" s="188" t="s">
        <v>31</v>
      </c>
      <c r="P35" s="418" t="s">
        <v>580</v>
      </c>
      <c r="Q35" s="142">
        <v>265</v>
      </c>
      <c r="R35" s="401" t="s">
        <v>241</v>
      </c>
      <c r="S35" s="414">
        <f>0.001*Q35</f>
        <v>0.26500000000000001</v>
      </c>
    </row>
    <row r="36" spans="1:21">
      <c r="A36" s="88" t="s">
        <v>905</v>
      </c>
      <c r="B36" s="188">
        <f t="shared" ref="B36" si="2">S36</f>
        <v>0.26500000000000001</v>
      </c>
      <c r="D36" s="188" t="s">
        <v>37</v>
      </c>
      <c r="E36" s="188" t="s">
        <v>40</v>
      </c>
      <c r="F36" s="188" t="s">
        <v>29</v>
      </c>
      <c r="G36" s="188" t="s">
        <v>59</v>
      </c>
      <c r="H36" s="188" t="s">
        <v>136</v>
      </c>
      <c r="I36" s="188">
        <v>2</v>
      </c>
      <c r="J36" s="188">
        <f t="shared" si="1"/>
        <v>-1.3280254529959148</v>
      </c>
      <c r="K36" s="188">
        <v>9.6046863561492793E-2</v>
      </c>
      <c r="L36" s="188" t="s">
        <v>31</v>
      </c>
      <c r="M36" s="188" t="s">
        <v>31</v>
      </c>
      <c r="N36" s="188" t="s">
        <v>31</v>
      </c>
      <c r="P36" s="418" t="s">
        <v>580</v>
      </c>
      <c r="Q36" s="419">
        <v>265</v>
      </c>
      <c r="R36" s="401" t="s">
        <v>241</v>
      </c>
      <c r="S36" s="414">
        <f t="shared" ref="S36:S37" si="3">0.001*Q36</f>
        <v>0.26500000000000001</v>
      </c>
    </row>
    <row r="37" spans="1:21">
      <c r="A37" s="88" t="s">
        <v>738</v>
      </c>
      <c r="B37" s="188">
        <f>S37</f>
        <v>7.0000000000000007E-2</v>
      </c>
      <c r="D37" s="188" t="s">
        <v>37</v>
      </c>
      <c r="E37" s="188" t="s">
        <v>40</v>
      </c>
      <c r="F37" s="188" t="s">
        <v>29</v>
      </c>
      <c r="G37" s="37" t="s">
        <v>74</v>
      </c>
      <c r="H37" s="188" t="s">
        <v>33</v>
      </c>
      <c r="I37" s="188">
        <v>2</v>
      </c>
      <c r="J37" s="188">
        <f t="shared" si="1"/>
        <v>-2.6592600369327779</v>
      </c>
      <c r="K37" s="188">
        <v>9.6046863561492793E-2</v>
      </c>
      <c r="L37" s="188" t="s">
        <v>31</v>
      </c>
      <c r="M37" s="188" t="s">
        <v>31</v>
      </c>
      <c r="N37" s="188" t="s">
        <v>31</v>
      </c>
      <c r="P37" s="418" t="s">
        <v>580</v>
      </c>
      <c r="Q37" s="419">
        <v>70</v>
      </c>
      <c r="R37" s="401" t="s">
        <v>241</v>
      </c>
      <c r="S37" s="414">
        <f t="shared" si="3"/>
        <v>7.0000000000000007E-2</v>
      </c>
    </row>
    <row r="38" spans="1:21" s="353" customFormat="1">
      <c r="A38" s="370" t="s">
        <v>5</v>
      </c>
      <c r="B38" s="371" t="s">
        <v>1167</v>
      </c>
      <c r="C38" s="371"/>
    </row>
    <row r="39" spans="1:21">
      <c r="A39" s="346" t="s">
        <v>7</v>
      </c>
      <c r="B39" s="188" t="s">
        <v>786</v>
      </c>
      <c r="D39" s="345"/>
    </row>
    <row r="40" spans="1:21">
      <c r="A40" s="424" t="s">
        <v>9</v>
      </c>
      <c r="B40" s="188" t="s">
        <v>1168</v>
      </c>
      <c r="D40" s="345"/>
    </row>
    <row r="41" spans="1:21" ht="15.75" customHeight="1">
      <c r="A41" s="346" t="s">
        <v>11</v>
      </c>
      <c r="B41" s="347" t="s">
        <v>796</v>
      </c>
      <c r="C41" s="347"/>
    </row>
    <row r="42" spans="1:21">
      <c r="A42" s="346" t="s">
        <v>13</v>
      </c>
      <c r="B42" s="188" t="s">
        <v>14</v>
      </c>
    </row>
    <row r="43" spans="1:21">
      <c r="A43" s="346" t="s">
        <v>15</v>
      </c>
      <c r="B43" s="358">
        <f>B48</f>
        <v>5.25</v>
      </c>
      <c r="C43" s="358"/>
    </row>
    <row r="44" spans="1:21">
      <c r="A44" s="346" t="s">
        <v>16</v>
      </c>
      <c r="B44" s="188" t="s">
        <v>17</v>
      </c>
    </row>
    <row r="45" spans="1:21">
      <c r="A45" s="346" t="s">
        <v>18</v>
      </c>
      <c r="B45" s="188" t="s">
        <v>37</v>
      </c>
    </row>
    <row r="46" spans="1:21">
      <c r="A46" s="343" t="s">
        <v>19</v>
      </c>
    </row>
    <row r="47" spans="1:21">
      <c r="A47" s="344" t="s">
        <v>20</v>
      </c>
      <c r="B47" s="344" t="s">
        <v>21</v>
      </c>
      <c r="C47" s="382" t="s">
        <v>217</v>
      </c>
      <c r="D47" s="344" t="s">
        <v>18</v>
      </c>
      <c r="E47" s="344" t="s">
        <v>22</v>
      </c>
      <c r="F47" s="344" t="s">
        <v>7</v>
      </c>
      <c r="G47" s="344" t="s">
        <v>13</v>
      </c>
      <c r="H47" s="344" t="s">
        <v>16</v>
      </c>
      <c r="I47" s="344" t="s">
        <v>23</v>
      </c>
      <c r="J47" s="344" t="s">
        <v>24</v>
      </c>
      <c r="K47" s="344" t="s">
        <v>25</v>
      </c>
      <c r="L47" s="344" t="s">
        <v>26</v>
      </c>
      <c r="M47" s="344" t="s">
        <v>27</v>
      </c>
      <c r="N47" s="344" t="s">
        <v>28</v>
      </c>
      <c r="O47" s="344" t="s">
        <v>11</v>
      </c>
      <c r="U47" s="415"/>
    </row>
    <row r="48" spans="1:21">
      <c r="A48" s="188" t="s">
        <v>1167</v>
      </c>
      <c r="B48" s="188">
        <f>Q48</f>
        <v>5.25</v>
      </c>
      <c r="D48" s="188" t="s">
        <v>37</v>
      </c>
      <c r="E48" s="408" t="s">
        <v>2</v>
      </c>
      <c r="F48" s="188" t="s">
        <v>29</v>
      </c>
      <c r="G48" s="188" t="s">
        <v>14</v>
      </c>
      <c r="H48" s="188" t="s">
        <v>30</v>
      </c>
      <c r="I48" s="188">
        <v>2</v>
      </c>
      <c r="J48" s="188">
        <f>LN(B48)</f>
        <v>1.6582280766035324</v>
      </c>
      <c r="K48" s="188">
        <v>0.10307764064044142</v>
      </c>
      <c r="L48" s="188" t="s">
        <v>31</v>
      </c>
      <c r="M48" s="188" t="s">
        <v>31</v>
      </c>
      <c r="N48" s="188" t="s">
        <v>31</v>
      </c>
      <c r="Q48" s="465">
        <v>5.25</v>
      </c>
    </row>
    <row r="49" spans="1:25">
      <c r="A49" s="88" t="s">
        <v>905</v>
      </c>
      <c r="B49" s="188">
        <f>Q49</f>
        <v>5.57</v>
      </c>
      <c r="D49" s="188" t="s">
        <v>37</v>
      </c>
      <c r="E49" s="188" t="s">
        <v>40</v>
      </c>
      <c r="F49" s="188" t="s">
        <v>29</v>
      </c>
      <c r="G49" s="188" t="s">
        <v>59</v>
      </c>
      <c r="H49" s="188" t="s">
        <v>33</v>
      </c>
      <c r="I49" s="188">
        <v>2</v>
      </c>
      <c r="J49" s="188">
        <f t="shared" ref="J49:J57" si="4">LN(B49)</f>
        <v>1.7173950539391927</v>
      </c>
      <c r="K49" s="188">
        <v>4.9999999999998969E-3</v>
      </c>
      <c r="L49" s="188" t="s">
        <v>31</v>
      </c>
      <c r="M49" s="188" t="s">
        <v>31</v>
      </c>
      <c r="N49" s="188" t="s">
        <v>31</v>
      </c>
      <c r="P49" s="401" t="s">
        <v>241</v>
      </c>
      <c r="Q49" s="414">
        <v>5.57</v>
      </c>
    </row>
    <row r="50" spans="1:25">
      <c r="A50" s="27" t="s">
        <v>69</v>
      </c>
      <c r="B50" s="188">
        <f>S50</f>
        <v>1.4804177545691908</v>
      </c>
      <c r="D50" s="188" t="s">
        <v>42</v>
      </c>
      <c r="E50" s="188" t="s">
        <v>40</v>
      </c>
      <c r="F50" s="188" t="s">
        <v>29</v>
      </c>
      <c r="G50" s="188" t="s">
        <v>249</v>
      </c>
      <c r="H50" s="188" t="s">
        <v>33</v>
      </c>
      <c r="I50" s="188">
        <v>2</v>
      </c>
      <c r="J50" s="188">
        <f t="shared" si="4"/>
        <v>0.3923243145471062</v>
      </c>
      <c r="K50" s="188">
        <v>4.9999999999998969E-3</v>
      </c>
      <c r="L50" s="188" t="s">
        <v>31</v>
      </c>
      <c r="M50" s="188" t="s">
        <v>31</v>
      </c>
      <c r="N50" s="188" t="s">
        <v>31</v>
      </c>
      <c r="P50" s="401" t="s">
        <v>250</v>
      </c>
      <c r="Q50" s="414">
        <v>56.7</v>
      </c>
      <c r="R50" s="188" t="s">
        <v>251</v>
      </c>
      <c r="S50" s="188">
        <f>Q50/38.3</f>
        <v>1.4804177545691908</v>
      </c>
      <c r="T50" s="466"/>
      <c r="U50" s="467"/>
      <c r="V50" s="467"/>
      <c r="W50" s="467"/>
      <c r="X50" s="467"/>
      <c r="Y50" s="467"/>
    </row>
    <row r="51" spans="1:25">
      <c r="A51" s="346" t="s">
        <v>269</v>
      </c>
      <c r="B51" s="350">
        <f>Q51</f>
        <v>13.7</v>
      </c>
      <c r="C51" s="350"/>
      <c r="D51" s="188" t="s">
        <v>39</v>
      </c>
      <c r="E51" s="188" t="s">
        <v>40</v>
      </c>
      <c r="F51" s="188" t="s">
        <v>29</v>
      </c>
      <c r="G51" s="37" t="s">
        <v>59</v>
      </c>
      <c r="H51" s="188" t="s">
        <v>33</v>
      </c>
      <c r="I51" s="188">
        <v>2</v>
      </c>
      <c r="J51" s="188">
        <f t="shared" si="4"/>
        <v>2.6173958328340792</v>
      </c>
      <c r="K51" s="188">
        <v>4.9999999999998969E-3</v>
      </c>
      <c r="L51" s="188" t="s">
        <v>31</v>
      </c>
      <c r="M51" s="188" t="s">
        <v>31</v>
      </c>
      <c r="N51" s="188" t="s">
        <v>31</v>
      </c>
      <c r="P51" s="401" t="s">
        <v>248</v>
      </c>
      <c r="Q51" s="414">
        <v>13.7</v>
      </c>
    </row>
    <row r="52" spans="1:25">
      <c r="A52" s="88" t="s">
        <v>907</v>
      </c>
      <c r="B52" s="188">
        <f>S52</f>
        <v>0.11</v>
      </c>
      <c r="D52" s="188" t="s">
        <v>37</v>
      </c>
      <c r="E52" s="188" t="s">
        <v>40</v>
      </c>
      <c r="F52" s="188" t="s">
        <v>29</v>
      </c>
      <c r="G52" s="188" t="s">
        <v>35</v>
      </c>
      <c r="H52" s="188" t="s">
        <v>33</v>
      </c>
      <c r="I52" s="188">
        <v>2</v>
      </c>
      <c r="J52" s="188">
        <f t="shared" si="4"/>
        <v>-2.2072749131897207</v>
      </c>
      <c r="K52" s="188">
        <v>0.10049875621120885</v>
      </c>
      <c r="L52" s="188" t="s">
        <v>31</v>
      </c>
      <c r="M52" s="188" t="s">
        <v>31</v>
      </c>
      <c r="N52" s="188" t="s">
        <v>31</v>
      </c>
      <c r="P52" s="401" t="s">
        <v>580</v>
      </c>
      <c r="Q52" s="414">
        <v>110</v>
      </c>
      <c r="R52" s="401" t="s">
        <v>241</v>
      </c>
      <c r="S52" s="414">
        <f t="shared" ref="S52:S54" si="5">0.001*Q52</f>
        <v>0.11</v>
      </c>
    </row>
    <row r="53" spans="1:25">
      <c r="A53" s="88" t="s">
        <v>908</v>
      </c>
      <c r="B53" s="188">
        <f>S53</f>
        <v>2.1000000000000003E-3</v>
      </c>
      <c r="D53" s="188" t="s">
        <v>37</v>
      </c>
      <c r="E53" s="188" t="s">
        <v>43</v>
      </c>
      <c r="F53" s="188" t="s">
        <v>44</v>
      </c>
      <c r="G53" s="188" t="s">
        <v>29</v>
      </c>
      <c r="H53" s="188" t="s">
        <v>45</v>
      </c>
      <c r="I53" s="188">
        <v>2</v>
      </c>
      <c r="J53" s="188">
        <f t="shared" si="4"/>
        <v>-6.1658179342527593</v>
      </c>
      <c r="K53" s="188">
        <v>4.9999999999998969E-3</v>
      </c>
      <c r="L53" s="188" t="s">
        <v>31</v>
      </c>
      <c r="M53" s="188" t="s">
        <v>31</v>
      </c>
      <c r="N53" s="188" t="s">
        <v>31</v>
      </c>
      <c r="P53" s="416" t="s">
        <v>580</v>
      </c>
      <c r="Q53" s="439">
        <v>2.1</v>
      </c>
      <c r="R53" s="401" t="s">
        <v>241</v>
      </c>
      <c r="S53" s="414">
        <f t="shared" si="5"/>
        <v>2.1000000000000003E-3</v>
      </c>
    </row>
    <row r="54" spans="1:25">
      <c r="A54" s="346" t="s">
        <v>758</v>
      </c>
      <c r="B54" s="188">
        <f>S54</f>
        <v>5.3E-3</v>
      </c>
      <c r="D54" s="188" t="s">
        <v>37</v>
      </c>
      <c r="E54" s="188" t="s">
        <v>43</v>
      </c>
      <c r="F54" s="188" t="s">
        <v>44</v>
      </c>
      <c r="G54" s="37" t="s">
        <v>29</v>
      </c>
      <c r="H54" s="188" t="s">
        <v>45</v>
      </c>
      <c r="I54" s="188">
        <v>2</v>
      </c>
      <c r="J54" s="188">
        <f t="shared" si="4"/>
        <v>-5.2400484584240612</v>
      </c>
      <c r="K54" s="188">
        <v>8.9582364335844641E-2</v>
      </c>
      <c r="L54" s="188" t="s">
        <v>31</v>
      </c>
      <c r="M54" s="188" t="s">
        <v>31</v>
      </c>
      <c r="N54" s="188" t="s">
        <v>31</v>
      </c>
      <c r="P54" s="416" t="s">
        <v>580</v>
      </c>
      <c r="Q54" s="439">
        <v>5.3</v>
      </c>
      <c r="R54" s="401" t="s">
        <v>241</v>
      </c>
      <c r="S54" s="414">
        <f t="shared" si="5"/>
        <v>5.3E-3</v>
      </c>
    </row>
    <row r="55" spans="1:25">
      <c r="A55" s="438" t="s">
        <v>265</v>
      </c>
      <c r="B55" s="188">
        <f>Q56</f>
        <v>0.32</v>
      </c>
      <c r="C55" s="192" t="s">
        <v>266</v>
      </c>
      <c r="D55" s="188" t="s">
        <v>37</v>
      </c>
      <c r="E55" s="188" t="s">
        <v>40</v>
      </c>
      <c r="F55" s="188" t="s">
        <v>29</v>
      </c>
      <c r="G55" s="37" t="s">
        <v>35</v>
      </c>
      <c r="H55" s="188" t="s">
        <v>33</v>
      </c>
      <c r="I55" s="188">
        <v>2</v>
      </c>
      <c r="J55" s="188">
        <f t="shared" si="4"/>
        <v>-1.1394342831883648</v>
      </c>
      <c r="K55" s="188">
        <v>9.6046863561492793E-2</v>
      </c>
      <c r="L55" s="188" t="s">
        <v>31</v>
      </c>
      <c r="M55" s="188" t="s">
        <v>31</v>
      </c>
      <c r="N55" s="188" t="s">
        <v>31</v>
      </c>
      <c r="P55" s="416"/>
      <c r="Q55" s="439">
        <v>5.3</v>
      </c>
      <c r="R55" s="432"/>
      <c r="S55" s="433"/>
    </row>
    <row r="56" spans="1:25">
      <c r="A56" s="192" t="s">
        <v>263</v>
      </c>
      <c r="B56" s="188">
        <f>Q56</f>
        <v>0.32</v>
      </c>
      <c r="D56" s="188" t="s">
        <v>37</v>
      </c>
      <c r="E56" s="188" t="s">
        <v>40</v>
      </c>
      <c r="F56" s="188" t="s">
        <v>29</v>
      </c>
      <c r="G56" s="188" t="s">
        <v>35</v>
      </c>
      <c r="H56" s="188" t="s">
        <v>33</v>
      </c>
      <c r="I56" s="188">
        <v>2</v>
      </c>
      <c r="J56" s="188">
        <f t="shared" si="4"/>
        <v>-1.1394342831883648</v>
      </c>
      <c r="K56" s="188">
        <v>4.9999999999998969E-3</v>
      </c>
      <c r="L56" s="188" t="s">
        <v>31</v>
      </c>
      <c r="M56" s="188" t="s">
        <v>31</v>
      </c>
      <c r="N56" s="188" t="s">
        <v>31</v>
      </c>
      <c r="P56" s="418" t="s">
        <v>241</v>
      </c>
      <c r="Q56" s="439">
        <v>0.32</v>
      </c>
    </row>
    <row r="57" spans="1:25">
      <c r="A57" s="88" t="s">
        <v>905</v>
      </c>
      <c r="B57" s="188">
        <f>Q56</f>
        <v>0.32</v>
      </c>
      <c r="D57" s="188" t="s">
        <v>37</v>
      </c>
      <c r="E57" s="188" t="s">
        <v>40</v>
      </c>
      <c r="F57" s="188" t="s">
        <v>29</v>
      </c>
      <c r="G57" s="188" t="s">
        <v>59</v>
      </c>
      <c r="H57" s="188" t="s">
        <v>136</v>
      </c>
      <c r="I57" s="188">
        <v>2</v>
      </c>
      <c r="J57" s="188">
        <f t="shared" si="4"/>
        <v>-1.1394342831883648</v>
      </c>
      <c r="K57" s="188">
        <v>4.9999999999998969E-3</v>
      </c>
      <c r="L57" s="188" t="s">
        <v>31</v>
      </c>
      <c r="M57" s="188" t="s">
        <v>31</v>
      </c>
      <c r="N57" s="188" t="s">
        <v>31</v>
      </c>
      <c r="Q57" s="419"/>
    </row>
  </sheetData>
  <pageMargins left="0.7" right="0.7" top="0.75" bottom="0.75" header="0.3" footer="0.3"/>
  <pageSetup paperSize="9"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1E437-BCB0-4F78-AB0D-5641FAC7948B}">
  <sheetPr>
    <tabColor rgb="FFFFFF00"/>
  </sheetPr>
  <dimension ref="A1:U363"/>
  <sheetViews>
    <sheetView zoomScale="85" zoomScaleNormal="85" workbookViewId="0">
      <selection activeCell="H18" sqref="H18"/>
    </sheetView>
  </sheetViews>
  <sheetFormatPr defaultRowHeight="14.45"/>
  <cols>
    <col min="1" max="1" width="85.7109375" customWidth="1"/>
    <col min="2" max="2" width="15.28515625" customWidth="1"/>
    <col min="3" max="3" width="14.28515625" customWidth="1"/>
    <col min="4" max="4" width="35.7109375" customWidth="1"/>
    <col min="7" max="7" width="15.5703125" customWidth="1"/>
    <col min="18" max="18" width="10.2851562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70" t="s">
        <v>5</v>
      </c>
      <c r="B2" s="371" t="s">
        <v>1138</v>
      </c>
      <c r="C2" s="372"/>
      <c r="D2" s="353"/>
      <c r="E2" s="353"/>
      <c r="F2" s="353"/>
      <c r="G2" s="353"/>
      <c r="H2" s="353"/>
      <c r="I2" s="353"/>
      <c r="J2" s="353"/>
      <c r="K2" s="353"/>
      <c r="L2" s="353"/>
      <c r="M2" s="353"/>
      <c r="N2" s="188"/>
      <c r="O2" s="188"/>
      <c r="P2" s="188"/>
      <c r="Q2" s="188"/>
      <c r="R2" s="188"/>
      <c r="S2" s="188"/>
      <c r="T2" s="188"/>
      <c r="U2" s="188"/>
    </row>
    <row r="3" spans="1:21">
      <c r="A3" s="346" t="s">
        <v>7</v>
      </c>
      <c r="B3" s="188" t="s">
        <v>786</v>
      </c>
      <c r="C3" s="345"/>
      <c r="D3" s="188"/>
      <c r="E3" s="188"/>
      <c r="F3" s="188"/>
      <c r="G3" s="188"/>
      <c r="H3" s="188"/>
      <c r="I3" s="188"/>
      <c r="J3" s="188"/>
      <c r="K3" s="188"/>
      <c r="L3" s="188"/>
      <c r="M3" s="188"/>
      <c r="N3" s="188"/>
      <c r="O3" s="188"/>
      <c r="P3" s="188"/>
      <c r="Q3" s="188"/>
      <c r="R3" s="188"/>
      <c r="S3" s="188"/>
      <c r="T3" s="188"/>
      <c r="U3" s="188"/>
    </row>
    <row r="4" spans="1:21">
      <c r="A4" s="346" t="s">
        <v>9</v>
      </c>
      <c r="B4" s="188" t="s">
        <v>1169</v>
      </c>
      <c r="C4" s="345"/>
      <c r="D4" s="188"/>
      <c r="E4" s="188"/>
      <c r="F4" s="188"/>
      <c r="G4" s="188"/>
      <c r="H4" s="188"/>
      <c r="I4" s="188"/>
      <c r="J4" s="188"/>
      <c r="K4" s="188"/>
      <c r="L4" s="188"/>
      <c r="M4" s="188"/>
      <c r="N4" s="188"/>
      <c r="O4" s="188"/>
      <c r="P4" s="188"/>
      <c r="Q4" s="188"/>
      <c r="R4" s="188"/>
      <c r="S4" s="188"/>
      <c r="T4" s="188"/>
      <c r="U4" s="188"/>
    </row>
    <row r="5" spans="1:21" ht="16.5" customHeight="1">
      <c r="A5" s="346" t="s">
        <v>11</v>
      </c>
      <c r="B5" s="347" t="s">
        <v>796</v>
      </c>
      <c r="C5" s="188"/>
      <c r="D5" s="188"/>
      <c r="E5" s="188"/>
      <c r="F5" s="188"/>
      <c r="G5" s="188"/>
      <c r="H5" s="188"/>
      <c r="I5" s="188"/>
      <c r="J5" s="188"/>
      <c r="K5" s="188"/>
      <c r="L5" s="188"/>
      <c r="M5" s="188"/>
      <c r="N5" s="188"/>
      <c r="O5" s="188"/>
      <c r="P5" s="188"/>
      <c r="Q5" s="188"/>
      <c r="R5" s="188"/>
      <c r="S5" s="188"/>
      <c r="T5" s="188"/>
      <c r="U5" s="188"/>
    </row>
    <row r="6" spans="1:21">
      <c r="A6" s="346" t="s">
        <v>13</v>
      </c>
      <c r="B6" s="188" t="s">
        <v>14</v>
      </c>
      <c r="C6" s="188"/>
      <c r="D6" s="188"/>
      <c r="E6" s="188"/>
      <c r="F6" s="188"/>
      <c r="G6" s="188"/>
      <c r="H6" s="188"/>
      <c r="I6" s="188"/>
      <c r="J6" s="188"/>
      <c r="K6" s="188"/>
      <c r="L6" s="188"/>
      <c r="M6" s="188"/>
      <c r="N6" s="188"/>
      <c r="O6" s="188"/>
      <c r="P6" s="188"/>
      <c r="Q6" s="188"/>
      <c r="R6" s="188"/>
      <c r="S6" s="188"/>
      <c r="T6" s="188"/>
      <c r="U6" s="188"/>
    </row>
    <row r="7" spans="1:21">
      <c r="A7" s="346" t="s">
        <v>15</v>
      </c>
      <c r="B7" s="188">
        <f>B12</f>
        <v>1.8</v>
      </c>
      <c r="C7" s="188"/>
      <c r="D7" s="188"/>
      <c r="E7" s="188"/>
      <c r="F7" s="188"/>
      <c r="G7" s="188"/>
      <c r="H7" s="188"/>
      <c r="I7" s="188"/>
      <c r="J7" s="188"/>
      <c r="K7" s="188"/>
      <c r="L7" s="188"/>
      <c r="M7" s="188"/>
      <c r="N7" s="188"/>
      <c r="O7" s="188" t="s">
        <v>1012</v>
      </c>
      <c r="P7" s="188"/>
      <c r="Q7" s="188"/>
      <c r="R7" s="188"/>
      <c r="S7" s="188"/>
      <c r="T7" s="188"/>
      <c r="U7" s="188"/>
    </row>
    <row r="8" spans="1:21">
      <c r="A8" s="346" t="s">
        <v>16</v>
      </c>
      <c r="B8" s="188" t="s">
        <v>17</v>
      </c>
      <c r="C8" s="188"/>
      <c r="D8" s="188"/>
      <c r="E8" s="188"/>
      <c r="F8" s="188"/>
      <c r="G8" s="188"/>
      <c r="H8" s="188"/>
      <c r="I8" s="188"/>
      <c r="J8" s="188"/>
      <c r="K8" s="188"/>
      <c r="L8" s="188"/>
      <c r="M8" s="188"/>
      <c r="N8" s="188"/>
      <c r="O8" s="188"/>
      <c r="P8" s="188"/>
      <c r="Q8" s="188"/>
      <c r="R8" s="188"/>
      <c r="S8" s="188"/>
      <c r="T8" s="188"/>
      <c r="U8" s="188"/>
    </row>
    <row r="9" spans="1:21">
      <c r="A9" s="346" t="s">
        <v>18</v>
      </c>
      <c r="B9" s="188" t="s">
        <v>37</v>
      </c>
      <c r="C9" s="188"/>
      <c r="D9" s="188"/>
      <c r="E9" s="188"/>
      <c r="F9" s="188"/>
      <c r="G9" s="188"/>
      <c r="H9" s="188"/>
      <c r="I9" s="188"/>
      <c r="J9" s="188"/>
      <c r="K9" s="188"/>
      <c r="L9" s="188"/>
      <c r="M9" s="188"/>
      <c r="N9" s="188"/>
      <c r="O9" s="188"/>
      <c r="P9" s="188"/>
      <c r="Q9" s="188"/>
      <c r="R9" s="188"/>
      <c r="S9" s="188"/>
      <c r="T9" s="188"/>
      <c r="U9" s="188"/>
    </row>
    <row r="10" spans="1:21">
      <c r="A10" s="343"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c r="U11" s="188"/>
    </row>
    <row r="12" spans="1:21">
      <c r="A12" s="346" t="s">
        <v>1138</v>
      </c>
      <c r="B12" s="188">
        <f>'2D. MOTOR DRIVE INVERTER'!B16</f>
        <v>1.8</v>
      </c>
      <c r="C12" s="188" t="s">
        <v>37</v>
      </c>
      <c r="D12" s="408"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1170</v>
      </c>
      <c r="B13" s="188">
        <v>1</v>
      </c>
      <c r="C13" s="188" t="s">
        <v>18</v>
      </c>
      <c r="D13" s="408" t="s">
        <v>2</v>
      </c>
      <c r="E13" s="188" t="s">
        <v>29</v>
      </c>
      <c r="F13" s="37" t="s">
        <v>14</v>
      </c>
      <c r="G13" s="188" t="s">
        <v>33</v>
      </c>
      <c r="H13" s="188">
        <v>1</v>
      </c>
      <c r="I13" s="415">
        <f>B13</f>
        <v>1</v>
      </c>
      <c r="J13" s="188" t="s">
        <v>31</v>
      </c>
      <c r="K13" s="188" t="s">
        <v>31</v>
      </c>
      <c r="L13" s="188" t="s">
        <v>31</v>
      </c>
      <c r="M13" s="188" t="s">
        <v>31</v>
      </c>
      <c r="N13" s="188"/>
      <c r="O13" s="188"/>
      <c r="P13" s="188"/>
      <c r="Q13" s="188"/>
      <c r="R13" s="188"/>
      <c r="S13" s="188"/>
      <c r="T13" s="188"/>
      <c r="U13" s="188"/>
    </row>
    <row r="14" spans="1:21">
      <c r="A14" s="188" t="s">
        <v>1171</v>
      </c>
      <c r="B14" s="188">
        <v>1</v>
      </c>
      <c r="C14" s="188" t="s">
        <v>18</v>
      </c>
      <c r="D14" s="408" t="s">
        <v>2</v>
      </c>
      <c r="E14" s="188" t="s">
        <v>29</v>
      </c>
      <c r="F14" s="37" t="s">
        <v>14</v>
      </c>
      <c r="G14" s="188" t="s">
        <v>33</v>
      </c>
      <c r="H14" s="188">
        <v>1</v>
      </c>
      <c r="I14" s="415">
        <f>B14</f>
        <v>1</v>
      </c>
      <c r="J14" s="188" t="s">
        <v>31</v>
      </c>
      <c r="K14" s="188" t="s">
        <v>31</v>
      </c>
      <c r="L14" s="188" t="s">
        <v>31</v>
      </c>
      <c r="M14" s="188" t="s">
        <v>31</v>
      </c>
      <c r="N14" s="188"/>
      <c r="O14" s="188"/>
      <c r="P14" s="188"/>
      <c r="Q14" s="188"/>
      <c r="R14" s="188"/>
      <c r="S14" s="188"/>
      <c r="T14" s="188"/>
      <c r="U14" s="188"/>
    </row>
    <row r="15" spans="1:21">
      <c r="A15" s="88" t="s">
        <v>179</v>
      </c>
      <c r="B15" s="392">
        <f>R15</f>
        <v>1.7000000000000001E-4</v>
      </c>
      <c r="C15" s="188" t="s">
        <v>37</v>
      </c>
      <c r="D15" s="188" t="s">
        <v>40</v>
      </c>
      <c r="E15" s="188" t="s">
        <v>29</v>
      </c>
      <c r="F15" s="37" t="s">
        <v>35</v>
      </c>
      <c r="G15" s="188" t="s">
        <v>33</v>
      </c>
      <c r="H15" s="188">
        <v>2</v>
      </c>
      <c r="I15" s="188">
        <f>LN(B15)</f>
        <v>-8.6797121209140116</v>
      </c>
      <c r="J15" s="188">
        <v>2.8722813232690055E-2</v>
      </c>
      <c r="K15" s="188" t="s">
        <v>31</v>
      </c>
      <c r="L15" s="188" t="s">
        <v>31</v>
      </c>
      <c r="M15" s="188" t="s">
        <v>31</v>
      </c>
      <c r="N15" s="188"/>
      <c r="O15" s="383" t="s">
        <v>580</v>
      </c>
      <c r="P15" s="452">
        <v>0.17</v>
      </c>
      <c r="Q15" s="188" t="s">
        <v>241</v>
      </c>
      <c r="R15" s="392">
        <f>P15*0.001</f>
        <v>1.7000000000000001E-4</v>
      </c>
      <c r="S15" s="188"/>
      <c r="T15" s="188"/>
      <c r="U15" s="188"/>
    </row>
    <row r="16" spans="1:21">
      <c r="A16" s="370" t="s">
        <v>5</v>
      </c>
      <c r="B16" s="371" t="s">
        <v>1171</v>
      </c>
      <c r="C16" s="372"/>
      <c r="D16" s="353"/>
      <c r="E16" s="353"/>
      <c r="F16" s="353"/>
      <c r="G16" s="353"/>
      <c r="H16" s="353"/>
      <c r="I16" s="353"/>
      <c r="J16" s="353"/>
      <c r="K16" s="353"/>
      <c r="L16" s="353"/>
      <c r="M16" s="353"/>
      <c r="N16" s="188"/>
      <c r="O16" s="188"/>
      <c r="P16" s="188"/>
      <c r="Q16" s="188"/>
      <c r="R16" s="188"/>
      <c r="S16" s="188"/>
      <c r="T16" s="188"/>
      <c r="U16" s="188"/>
    </row>
    <row r="17" spans="1:21">
      <c r="A17" s="346" t="s">
        <v>7</v>
      </c>
      <c r="B17" s="188" t="s">
        <v>786</v>
      </c>
      <c r="C17" s="345"/>
      <c r="D17" s="188"/>
      <c r="E17" s="188"/>
      <c r="F17" s="188"/>
      <c r="G17" s="188"/>
      <c r="H17" s="188"/>
      <c r="I17" s="188"/>
      <c r="J17" s="188"/>
      <c r="K17" s="188"/>
      <c r="L17" s="188"/>
      <c r="M17" s="188"/>
      <c r="N17" s="188"/>
      <c r="O17" s="188"/>
      <c r="P17" s="188"/>
      <c r="Q17" s="188"/>
      <c r="R17" s="188"/>
      <c r="S17" s="188"/>
      <c r="T17" s="188"/>
      <c r="U17" s="188"/>
    </row>
    <row r="18" spans="1:21">
      <c r="A18" s="346" t="s">
        <v>9</v>
      </c>
      <c r="B18" s="188" t="s">
        <v>1172</v>
      </c>
      <c r="C18" s="345"/>
      <c r="D18" s="188"/>
      <c r="E18" s="188"/>
      <c r="F18" s="188"/>
      <c r="G18" s="188"/>
      <c r="H18" s="188"/>
      <c r="I18" s="188"/>
      <c r="J18" s="188"/>
      <c r="K18" s="188"/>
      <c r="L18" s="188"/>
      <c r="M18" s="188"/>
      <c r="N18" s="188"/>
      <c r="O18" s="188"/>
      <c r="P18" s="188"/>
      <c r="Q18" s="188"/>
      <c r="R18" s="188"/>
      <c r="S18" s="188"/>
      <c r="T18" s="188"/>
      <c r="U18" s="188"/>
    </row>
    <row r="19" spans="1:21" ht="16.5" customHeight="1">
      <c r="A19" s="346" t="s">
        <v>11</v>
      </c>
      <c r="B19" s="347" t="s">
        <v>796</v>
      </c>
      <c r="C19" s="188"/>
      <c r="D19" s="188"/>
      <c r="E19" s="188"/>
      <c r="F19" s="188"/>
      <c r="G19" s="188"/>
      <c r="H19" s="188"/>
      <c r="I19" s="188"/>
      <c r="J19" s="188"/>
      <c r="K19" s="188"/>
      <c r="L19" s="188"/>
      <c r="M19" s="188"/>
      <c r="N19" s="188"/>
      <c r="O19" s="188"/>
      <c r="P19" s="188"/>
      <c r="Q19" s="188"/>
      <c r="R19" s="188"/>
      <c r="S19" s="188"/>
      <c r="T19" s="188"/>
      <c r="U19" s="188"/>
    </row>
    <row r="20" spans="1:21">
      <c r="A20" s="346"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46"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46"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46"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43"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43" t="s">
        <v>20</v>
      </c>
      <c r="B25" s="344" t="s">
        <v>21</v>
      </c>
      <c r="C25" s="344" t="s">
        <v>18</v>
      </c>
      <c r="D25" s="344" t="s">
        <v>22</v>
      </c>
      <c r="E25" s="344" t="s">
        <v>7</v>
      </c>
      <c r="F25" s="344" t="s">
        <v>13</v>
      </c>
      <c r="G25" s="344" t="s">
        <v>16</v>
      </c>
      <c r="H25" s="344" t="s">
        <v>23</v>
      </c>
      <c r="I25" s="344" t="s">
        <v>24</v>
      </c>
      <c r="J25" s="344" t="s">
        <v>25</v>
      </c>
      <c r="K25" s="344" t="s">
        <v>26</v>
      </c>
      <c r="L25" s="344" t="s">
        <v>27</v>
      </c>
      <c r="M25" s="344" t="s">
        <v>28</v>
      </c>
      <c r="N25" s="344" t="s">
        <v>11</v>
      </c>
      <c r="O25" s="188"/>
      <c r="P25" s="188"/>
      <c r="Q25" s="188"/>
      <c r="R25" s="188"/>
      <c r="S25" s="188"/>
      <c r="T25" s="188"/>
      <c r="U25" s="188"/>
    </row>
    <row r="26" spans="1:21">
      <c r="A26" s="188" t="s">
        <v>1171</v>
      </c>
      <c r="B26" s="188">
        <v>1</v>
      </c>
      <c r="C26" s="188" t="s">
        <v>18</v>
      </c>
      <c r="D26" s="408" t="s">
        <v>2</v>
      </c>
      <c r="E26" s="188" t="s">
        <v>29</v>
      </c>
      <c r="F26" s="37" t="s">
        <v>14</v>
      </c>
      <c r="G26" s="188" t="s">
        <v>30</v>
      </c>
      <c r="H26" s="188">
        <v>1</v>
      </c>
      <c r="I26" s="415">
        <f>B26</f>
        <v>1</v>
      </c>
      <c r="J26" s="188" t="s">
        <v>31</v>
      </c>
      <c r="K26" s="188" t="s">
        <v>31</v>
      </c>
      <c r="L26" s="188" t="s">
        <v>31</v>
      </c>
      <c r="M26" s="188" t="s">
        <v>31</v>
      </c>
      <c r="N26" s="188"/>
      <c r="O26" s="188"/>
      <c r="P26" s="188"/>
      <c r="Q26" s="188"/>
      <c r="R26" s="188"/>
      <c r="S26" s="188"/>
      <c r="T26" s="188"/>
      <c r="U26" s="188"/>
    </row>
    <row r="27" spans="1:21">
      <c r="A27" s="88" t="s">
        <v>614</v>
      </c>
      <c r="B27" s="188">
        <f>P27</f>
        <v>0.34</v>
      </c>
      <c r="C27" s="188" t="s">
        <v>37</v>
      </c>
      <c r="D27" s="188" t="s">
        <v>40</v>
      </c>
      <c r="E27" s="188" t="s">
        <v>29</v>
      </c>
      <c r="F27" s="188" t="s">
        <v>59</v>
      </c>
      <c r="G27" s="188" t="s">
        <v>33</v>
      </c>
      <c r="H27" s="188">
        <v>1</v>
      </c>
      <c r="I27" s="415">
        <f>B27</f>
        <v>0.34</v>
      </c>
      <c r="J27" s="188" t="s">
        <v>31</v>
      </c>
      <c r="K27" s="188" t="s">
        <v>31</v>
      </c>
      <c r="L27" s="188" t="s">
        <v>31</v>
      </c>
      <c r="M27" s="188" t="s">
        <v>31</v>
      </c>
      <c r="N27" s="188"/>
      <c r="O27" s="188" t="s">
        <v>241</v>
      </c>
      <c r="P27" s="188">
        <v>0.34</v>
      </c>
      <c r="Q27" s="188"/>
      <c r="R27" s="188"/>
      <c r="S27" s="188"/>
      <c r="T27" s="188"/>
      <c r="U27" s="188"/>
    </row>
    <row r="28" spans="1:21">
      <c r="A28" s="88" t="s">
        <v>913</v>
      </c>
      <c r="B28" s="188">
        <f>R28</f>
        <v>0.224</v>
      </c>
      <c r="C28" s="188" t="s">
        <v>37</v>
      </c>
      <c r="D28" s="188" t="s">
        <v>40</v>
      </c>
      <c r="E28" s="188" t="s">
        <v>29</v>
      </c>
      <c r="F28" s="188" t="s">
        <v>59</v>
      </c>
      <c r="G28" s="188" t="s">
        <v>33</v>
      </c>
      <c r="H28" s="188">
        <v>2</v>
      </c>
      <c r="I28" s="188">
        <f>LN(B28)</f>
        <v>-1.4961092271270973</v>
      </c>
      <c r="J28" s="188">
        <v>3.7749172176353707E-2</v>
      </c>
      <c r="K28" s="188" t="s">
        <v>31</v>
      </c>
      <c r="L28" s="188" t="s">
        <v>31</v>
      </c>
      <c r="M28" s="188" t="s">
        <v>31</v>
      </c>
      <c r="N28" s="188"/>
      <c r="O28" s="401" t="s">
        <v>580</v>
      </c>
      <c r="P28" s="138">
        <v>224</v>
      </c>
      <c r="Q28" s="188" t="s">
        <v>241</v>
      </c>
      <c r="R28" s="188">
        <f>P28*0.001</f>
        <v>0.224</v>
      </c>
      <c r="S28" s="188"/>
      <c r="T28" s="188"/>
      <c r="U28" s="188"/>
    </row>
    <row r="29" spans="1:21">
      <c r="A29" s="88" t="s">
        <v>914</v>
      </c>
      <c r="B29" s="188">
        <f>R29</f>
        <v>1.34E-2</v>
      </c>
      <c r="C29" s="188" t="s">
        <v>37</v>
      </c>
      <c r="D29" s="188" t="s">
        <v>40</v>
      </c>
      <c r="E29" s="188" t="s">
        <v>29</v>
      </c>
      <c r="F29" s="188" t="s">
        <v>59</v>
      </c>
      <c r="G29" s="188" t="s">
        <v>33</v>
      </c>
      <c r="H29" s="188">
        <v>2</v>
      </c>
      <c r="I29" s="188">
        <f>LN(B29)</f>
        <v>-4.3125005720252716</v>
      </c>
      <c r="J29" s="188">
        <v>3.7749172176353707E-2</v>
      </c>
      <c r="K29" s="188" t="s">
        <v>31</v>
      </c>
      <c r="L29" s="188" t="s">
        <v>31</v>
      </c>
      <c r="M29" s="188" t="s">
        <v>31</v>
      </c>
      <c r="N29" s="188"/>
      <c r="O29" s="401" t="s">
        <v>580</v>
      </c>
      <c r="P29" s="138">
        <v>13.4</v>
      </c>
      <c r="Q29" s="188" t="s">
        <v>241</v>
      </c>
      <c r="R29" s="188">
        <f t="shared" ref="R29:R30" si="0">P29*0.001</f>
        <v>1.34E-2</v>
      </c>
      <c r="S29" s="188"/>
      <c r="T29" s="188"/>
      <c r="U29" s="188"/>
    </row>
    <row r="30" spans="1:21">
      <c r="A30" s="88" t="s">
        <v>915</v>
      </c>
      <c r="B30" s="188">
        <f>R30</f>
        <v>0.10100000000000001</v>
      </c>
      <c r="C30" s="188" t="s">
        <v>37</v>
      </c>
      <c r="D30" s="188" t="s">
        <v>40</v>
      </c>
      <c r="E30" s="188" t="s">
        <v>29</v>
      </c>
      <c r="F30" s="188" t="s">
        <v>59</v>
      </c>
      <c r="G30" s="188" t="s">
        <v>33</v>
      </c>
      <c r="H30" s="188">
        <v>2</v>
      </c>
      <c r="I30" s="188">
        <f>LN(B30)</f>
        <v>-2.2926347621408776</v>
      </c>
      <c r="J30" s="188">
        <v>3.7749172176353707E-2</v>
      </c>
      <c r="K30" s="188" t="s">
        <v>31</v>
      </c>
      <c r="L30" s="188" t="s">
        <v>31</v>
      </c>
      <c r="M30" s="188" t="s">
        <v>31</v>
      </c>
      <c r="N30" s="188"/>
      <c r="O30" s="401" t="s">
        <v>580</v>
      </c>
      <c r="P30" s="138">
        <v>101</v>
      </c>
      <c r="Q30" s="188" t="s">
        <v>241</v>
      </c>
      <c r="R30" s="188">
        <f t="shared" si="0"/>
        <v>0.10100000000000001</v>
      </c>
      <c r="S30" s="188"/>
      <c r="T30" s="188"/>
      <c r="U30" s="188"/>
    </row>
    <row r="31" spans="1:21">
      <c r="A31" s="370" t="s">
        <v>5</v>
      </c>
      <c r="B31" s="371" t="s">
        <v>1170</v>
      </c>
      <c r="C31" s="372"/>
      <c r="D31" s="353"/>
      <c r="E31" s="353"/>
      <c r="F31" s="353"/>
      <c r="G31" s="353"/>
      <c r="H31" s="353"/>
      <c r="I31" s="353"/>
      <c r="J31" s="353"/>
      <c r="K31" s="353"/>
      <c r="L31" s="353"/>
      <c r="M31" s="353"/>
      <c r="N31" s="188"/>
      <c r="O31" s="188"/>
      <c r="P31" s="188"/>
      <c r="Q31" s="188"/>
      <c r="R31" s="188"/>
      <c r="S31" s="188"/>
      <c r="T31" s="188"/>
      <c r="U31" s="188"/>
    </row>
    <row r="32" spans="1:21">
      <c r="A32" s="346" t="s">
        <v>7</v>
      </c>
      <c r="B32" s="188" t="s">
        <v>786</v>
      </c>
      <c r="C32" s="345"/>
      <c r="D32" s="188"/>
      <c r="E32" s="188"/>
      <c r="F32" s="188"/>
      <c r="G32" s="188"/>
      <c r="H32" s="188"/>
      <c r="I32" s="188"/>
      <c r="J32" s="188"/>
      <c r="K32" s="188"/>
      <c r="L32" s="188"/>
      <c r="M32" s="188"/>
      <c r="N32" s="188"/>
      <c r="O32" s="188"/>
      <c r="P32" s="188"/>
      <c r="Q32" s="188"/>
      <c r="R32" s="188"/>
      <c r="S32" s="188"/>
      <c r="T32" s="188"/>
      <c r="U32" s="188"/>
    </row>
    <row r="33" spans="1:21">
      <c r="A33" s="346" t="s">
        <v>9</v>
      </c>
      <c r="B33" s="188" t="s">
        <v>1173</v>
      </c>
      <c r="C33" s="345"/>
      <c r="D33" s="188"/>
      <c r="E33" s="188"/>
      <c r="F33" s="188"/>
      <c r="G33" s="188"/>
      <c r="H33" s="188"/>
      <c r="I33" s="188"/>
      <c r="J33" s="188"/>
      <c r="K33" s="188"/>
      <c r="L33" s="188"/>
      <c r="M33" s="188"/>
      <c r="N33" s="188"/>
      <c r="O33" s="188"/>
      <c r="P33" s="188"/>
      <c r="Q33" s="188"/>
      <c r="R33" s="188"/>
      <c r="S33" s="188"/>
      <c r="T33" s="188"/>
      <c r="U33" s="188"/>
    </row>
    <row r="34" spans="1:21" ht="18" customHeight="1">
      <c r="A34" s="346" t="s">
        <v>11</v>
      </c>
      <c r="B34" s="347" t="s">
        <v>796</v>
      </c>
      <c r="C34" s="188"/>
      <c r="D34" s="188"/>
      <c r="E34" s="188"/>
      <c r="F34" s="188"/>
      <c r="G34" s="188"/>
      <c r="H34" s="188"/>
      <c r="I34" s="188"/>
      <c r="J34" s="188"/>
      <c r="K34" s="188"/>
      <c r="L34" s="188"/>
      <c r="M34" s="188"/>
      <c r="N34" s="188"/>
      <c r="O34" s="188"/>
      <c r="P34" s="188"/>
      <c r="Q34" s="188"/>
      <c r="R34" s="188"/>
      <c r="S34" s="188"/>
      <c r="T34" s="188"/>
      <c r="U34" s="188"/>
    </row>
    <row r="35" spans="1:21">
      <c r="A35" s="346"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46"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46"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46"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43"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43" t="s">
        <v>20</v>
      </c>
      <c r="B40" s="344" t="s">
        <v>21</v>
      </c>
      <c r="C40" s="344" t="s">
        <v>18</v>
      </c>
      <c r="D40" s="344" t="s">
        <v>22</v>
      </c>
      <c r="E40" s="344" t="s">
        <v>7</v>
      </c>
      <c r="F40" s="344" t="s">
        <v>13</v>
      </c>
      <c r="G40" s="344" t="s">
        <v>16</v>
      </c>
      <c r="H40" s="344" t="s">
        <v>23</v>
      </c>
      <c r="I40" s="344" t="s">
        <v>24</v>
      </c>
      <c r="J40" s="344" t="s">
        <v>25</v>
      </c>
      <c r="K40" s="344" t="s">
        <v>26</v>
      </c>
      <c r="L40" s="344" t="s">
        <v>27</v>
      </c>
      <c r="M40" s="344" t="s">
        <v>28</v>
      </c>
      <c r="N40" s="344" t="s">
        <v>11</v>
      </c>
      <c r="O40" s="188"/>
      <c r="P40" s="188"/>
      <c r="Q40" s="188"/>
      <c r="R40" s="188"/>
      <c r="S40" s="188"/>
      <c r="T40" s="188"/>
      <c r="U40" s="188"/>
    </row>
    <row r="41" spans="1:21">
      <c r="A41" s="188" t="s">
        <v>1170</v>
      </c>
      <c r="B41" s="188">
        <v>1</v>
      </c>
      <c r="C41" s="188" t="s">
        <v>18</v>
      </c>
      <c r="D41" s="408" t="s">
        <v>2</v>
      </c>
      <c r="E41" s="188" t="s">
        <v>29</v>
      </c>
      <c r="F41" s="37" t="s">
        <v>14</v>
      </c>
      <c r="G41" s="188" t="s">
        <v>30</v>
      </c>
      <c r="H41" s="188">
        <v>1</v>
      </c>
      <c r="I41" s="415">
        <f>B41</f>
        <v>1</v>
      </c>
      <c r="J41" s="188" t="s">
        <v>31</v>
      </c>
      <c r="K41" s="188" t="s">
        <v>31</v>
      </c>
      <c r="L41" s="188" t="s">
        <v>31</v>
      </c>
      <c r="M41" s="188" t="s">
        <v>31</v>
      </c>
      <c r="N41" s="188"/>
      <c r="O41" s="188"/>
      <c r="P41" s="188"/>
      <c r="Q41" s="188"/>
      <c r="R41" s="188"/>
      <c r="S41" s="188"/>
      <c r="T41" s="188"/>
      <c r="U41" s="188"/>
    </row>
    <row r="42" spans="1:21">
      <c r="A42" s="88" t="s">
        <v>1174</v>
      </c>
      <c r="B42" s="188">
        <f>B55</f>
        <v>0.12</v>
      </c>
      <c r="C42" s="188" t="s">
        <v>37</v>
      </c>
      <c r="D42" s="408" t="s">
        <v>2</v>
      </c>
      <c r="E42" s="188" t="s">
        <v>29</v>
      </c>
      <c r="F42" s="37" t="s">
        <v>14</v>
      </c>
      <c r="G42" s="188" t="s">
        <v>33</v>
      </c>
      <c r="H42" s="188">
        <v>1</v>
      </c>
      <c r="I42" s="415">
        <f>B42</f>
        <v>0.12</v>
      </c>
      <c r="J42" s="188" t="s">
        <v>31</v>
      </c>
      <c r="K42" s="188" t="s">
        <v>31</v>
      </c>
      <c r="L42" s="188" t="s">
        <v>31</v>
      </c>
      <c r="M42" s="188" t="s">
        <v>31</v>
      </c>
      <c r="N42" s="188"/>
      <c r="O42" s="192"/>
      <c r="P42" s="421"/>
      <c r="Q42" s="188"/>
      <c r="R42" s="188"/>
      <c r="S42" s="188"/>
      <c r="T42" s="188"/>
      <c r="U42" s="188"/>
    </row>
    <row r="43" spans="1:21">
      <c r="A43" s="88" t="s">
        <v>1175</v>
      </c>
      <c r="B43" s="188">
        <v>1</v>
      </c>
      <c r="C43" s="188" t="s">
        <v>18</v>
      </c>
      <c r="D43" s="408" t="s">
        <v>2</v>
      </c>
      <c r="E43" s="188" t="s">
        <v>29</v>
      </c>
      <c r="F43" s="37" t="s">
        <v>14</v>
      </c>
      <c r="G43" s="188" t="s">
        <v>33</v>
      </c>
      <c r="H43" s="188">
        <v>1</v>
      </c>
      <c r="I43" s="415">
        <f>B43</f>
        <v>1</v>
      </c>
      <c r="J43" s="188" t="s">
        <v>31</v>
      </c>
      <c r="K43" s="188" t="s">
        <v>31</v>
      </c>
      <c r="L43" s="188" t="s">
        <v>31</v>
      </c>
      <c r="M43" s="188" t="s">
        <v>31</v>
      </c>
      <c r="N43" s="188"/>
      <c r="O43" s="188"/>
      <c r="P43" s="188"/>
      <c r="Q43" s="188"/>
      <c r="R43" s="188"/>
      <c r="S43" s="188"/>
      <c r="T43" s="188"/>
      <c r="U43" s="188"/>
    </row>
    <row r="44" spans="1:21">
      <c r="A44" s="346" t="s">
        <v>269</v>
      </c>
      <c r="B44" s="358">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N44" s="188"/>
      <c r="O44" s="383" t="s">
        <v>248</v>
      </c>
      <c r="P44" s="393">
        <v>0.03</v>
      </c>
      <c r="Q44" s="188" t="s">
        <v>248</v>
      </c>
      <c r="R44" s="358">
        <f>P44</f>
        <v>0.03</v>
      </c>
      <c r="S44" s="188"/>
      <c r="T44" s="188"/>
      <c r="U44" s="188"/>
    </row>
    <row r="45" spans="1:21" ht="20.25" customHeight="1">
      <c r="A45" s="370" t="s">
        <v>5</v>
      </c>
      <c r="B45" s="371" t="s">
        <v>1174</v>
      </c>
      <c r="C45" s="372"/>
      <c r="D45" s="353"/>
      <c r="E45" s="353"/>
      <c r="F45" s="353"/>
      <c r="G45" s="353"/>
      <c r="H45" s="353"/>
      <c r="I45" s="353"/>
      <c r="J45" s="353"/>
      <c r="K45" s="353"/>
      <c r="L45" s="353"/>
      <c r="M45" s="353"/>
      <c r="N45" s="188"/>
      <c r="O45" s="188"/>
      <c r="P45" s="188"/>
      <c r="Q45" s="188"/>
      <c r="R45" s="188"/>
      <c r="S45" s="188"/>
      <c r="T45" s="188"/>
      <c r="U45" s="188"/>
    </row>
    <row r="46" spans="1:21">
      <c r="A46" s="346" t="s">
        <v>7</v>
      </c>
      <c r="B46" s="188" t="s">
        <v>786</v>
      </c>
      <c r="C46" s="345"/>
      <c r="D46" s="188"/>
      <c r="E46" s="188"/>
      <c r="F46" s="188"/>
      <c r="G46" s="188"/>
      <c r="H46" s="188"/>
      <c r="I46" s="188"/>
      <c r="J46" s="188"/>
      <c r="K46" s="188"/>
      <c r="L46" s="188"/>
      <c r="M46" s="188"/>
      <c r="N46" s="188"/>
      <c r="O46" s="188"/>
      <c r="P46" s="188"/>
      <c r="Q46" s="188"/>
      <c r="R46" s="188"/>
      <c r="S46" s="188"/>
      <c r="T46" s="188"/>
      <c r="U46" s="188"/>
    </row>
    <row r="47" spans="1:21">
      <c r="A47" s="346" t="s">
        <v>9</v>
      </c>
      <c r="B47" s="188" t="s">
        <v>1176</v>
      </c>
      <c r="C47" s="345"/>
      <c r="D47" s="188"/>
      <c r="E47" s="188"/>
      <c r="F47" s="188"/>
      <c r="G47" s="188"/>
      <c r="H47" s="188"/>
      <c r="I47" s="188"/>
      <c r="J47" s="188"/>
      <c r="K47" s="188"/>
      <c r="L47" s="188"/>
      <c r="M47" s="188"/>
      <c r="N47" s="188"/>
      <c r="O47" s="188"/>
      <c r="P47" s="188"/>
      <c r="Q47" s="188"/>
      <c r="R47" s="188"/>
      <c r="S47" s="188"/>
      <c r="T47" s="188"/>
      <c r="U47" s="188"/>
    </row>
    <row r="48" spans="1:21" ht="11.25" customHeight="1">
      <c r="A48" s="346" t="s">
        <v>11</v>
      </c>
      <c r="B48" s="347" t="s">
        <v>796</v>
      </c>
      <c r="C48" s="188"/>
      <c r="D48" s="188"/>
      <c r="E48" s="188"/>
      <c r="F48" s="188"/>
      <c r="G48" s="188"/>
      <c r="H48" s="188"/>
      <c r="I48" s="188"/>
      <c r="J48" s="188"/>
      <c r="K48" s="188"/>
      <c r="L48" s="188"/>
      <c r="M48" s="188"/>
      <c r="N48" s="188"/>
      <c r="O48" s="188"/>
      <c r="P48" s="188"/>
      <c r="Q48" s="188"/>
      <c r="R48" s="188"/>
      <c r="S48" s="188"/>
      <c r="T48" s="188"/>
      <c r="U48" s="188"/>
    </row>
    <row r="49" spans="1:21">
      <c r="A49" s="346"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46" t="s">
        <v>15</v>
      </c>
      <c r="B50" s="188">
        <f>B55</f>
        <v>0.12</v>
      </c>
      <c r="C50" s="188"/>
      <c r="D50" s="188"/>
      <c r="E50" s="188"/>
      <c r="F50" s="188"/>
      <c r="G50" s="188"/>
      <c r="H50" s="188"/>
      <c r="I50" s="188"/>
      <c r="J50" s="188"/>
      <c r="K50" s="188"/>
      <c r="L50" s="188"/>
      <c r="M50" s="188"/>
      <c r="N50" s="188"/>
      <c r="O50" s="188"/>
      <c r="P50" s="188"/>
      <c r="Q50" s="188"/>
      <c r="R50" s="188"/>
      <c r="S50" s="188"/>
      <c r="T50" s="188"/>
      <c r="U50" s="188"/>
    </row>
    <row r="51" spans="1:21">
      <c r="A51" s="346"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46" t="s">
        <v>18</v>
      </c>
      <c r="B52" s="188" t="s">
        <v>37</v>
      </c>
      <c r="C52" s="188"/>
      <c r="D52" s="188"/>
      <c r="E52" s="188"/>
      <c r="F52" s="188"/>
      <c r="G52" s="188"/>
      <c r="H52" s="188"/>
      <c r="I52" s="188"/>
      <c r="J52" s="188"/>
      <c r="K52" s="188"/>
      <c r="L52" s="188"/>
      <c r="M52" s="188"/>
      <c r="N52" s="188"/>
      <c r="O52" s="188"/>
      <c r="P52" s="188"/>
      <c r="Q52" s="188"/>
      <c r="R52" s="188"/>
      <c r="S52" s="188"/>
      <c r="T52" s="188"/>
      <c r="U52" s="188"/>
    </row>
    <row r="53" spans="1:21">
      <c r="A53" s="343"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43" t="s">
        <v>20</v>
      </c>
      <c r="B54" s="344" t="s">
        <v>21</v>
      </c>
      <c r="C54" s="344" t="s">
        <v>18</v>
      </c>
      <c r="D54" s="344" t="s">
        <v>22</v>
      </c>
      <c r="E54" s="344" t="s">
        <v>7</v>
      </c>
      <c r="F54" s="344" t="s">
        <v>13</v>
      </c>
      <c r="G54" s="344" t="s">
        <v>16</v>
      </c>
      <c r="H54" s="344" t="s">
        <v>23</v>
      </c>
      <c r="I54" s="344" t="s">
        <v>24</v>
      </c>
      <c r="J54" s="344" t="s">
        <v>25</v>
      </c>
      <c r="K54" s="344" t="s">
        <v>26</v>
      </c>
      <c r="L54" s="344" t="s">
        <v>27</v>
      </c>
      <c r="M54" s="344" t="s">
        <v>28</v>
      </c>
      <c r="N54" s="344" t="s">
        <v>11</v>
      </c>
      <c r="O54" s="188"/>
      <c r="P54" s="188"/>
      <c r="Q54" s="188"/>
      <c r="R54" s="188"/>
      <c r="S54" s="188"/>
      <c r="T54" s="188"/>
      <c r="U54" s="188"/>
    </row>
    <row r="55" spans="1:21">
      <c r="A55" s="88" t="s">
        <v>1174</v>
      </c>
      <c r="B55" s="188">
        <v>0.12</v>
      </c>
      <c r="C55" s="188" t="s">
        <v>37</v>
      </c>
      <c r="D55" s="408" t="s">
        <v>2</v>
      </c>
      <c r="E55" s="188" t="s">
        <v>29</v>
      </c>
      <c r="F55" s="37" t="s">
        <v>14</v>
      </c>
      <c r="G55" s="188" t="s">
        <v>30</v>
      </c>
      <c r="H55" s="188">
        <v>1</v>
      </c>
      <c r="I55" s="415">
        <f>B55</f>
        <v>0.12</v>
      </c>
      <c r="J55" s="188" t="s">
        <v>31</v>
      </c>
      <c r="K55" s="188" t="s">
        <v>31</v>
      </c>
      <c r="L55" s="188" t="s">
        <v>31</v>
      </c>
      <c r="M55" s="188" t="s">
        <v>31</v>
      </c>
      <c r="N55" s="188"/>
      <c r="O55" s="482" t="s">
        <v>241</v>
      </c>
      <c r="P55" s="465">
        <v>0.10299999999999999</v>
      </c>
      <c r="Q55" s="188" t="s">
        <v>241</v>
      </c>
      <c r="R55" s="188">
        <f>P55</f>
        <v>0.10299999999999999</v>
      </c>
      <c r="S55" s="188"/>
      <c r="T55" s="188"/>
      <c r="U55" s="188"/>
    </row>
    <row r="56" spans="1:21">
      <c r="A56" s="88" t="s">
        <v>179</v>
      </c>
      <c r="B56" s="392">
        <f>R56</f>
        <v>0.12</v>
      </c>
      <c r="C56" s="188" t="s">
        <v>37</v>
      </c>
      <c r="D56" s="188" t="s">
        <v>40</v>
      </c>
      <c r="E56" s="188" t="s">
        <v>29</v>
      </c>
      <c r="F56" s="37" t="s">
        <v>35</v>
      </c>
      <c r="G56" s="188" t="s">
        <v>33</v>
      </c>
      <c r="H56" s="188">
        <v>2</v>
      </c>
      <c r="I56" s="188">
        <f>LN(B56)</f>
        <v>-2.120263536200091</v>
      </c>
      <c r="J56" s="188">
        <v>2.8722813232690055E-2</v>
      </c>
      <c r="K56" s="188" t="s">
        <v>31</v>
      </c>
      <c r="L56" s="188" t="s">
        <v>31</v>
      </c>
      <c r="M56" s="188" t="s">
        <v>31</v>
      </c>
      <c r="N56" s="188"/>
      <c r="O56" s="484" t="s">
        <v>241</v>
      </c>
      <c r="P56" s="414">
        <v>0.12</v>
      </c>
      <c r="Q56" s="188" t="s">
        <v>241</v>
      </c>
      <c r="R56" s="392">
        <f>P56</f>
        <v>0.12</v>
      </c>
      <c r="S56" s="188"/>
      <c r="T56" s="188"/>
      <c r="U56" s="188"/>
    </row>
    <row r="57" spans="1:21">
      <c r="A57" s="346" t="s">
        <v>269</v>
      </c>
      <c r="B57" s="350">
        <f>R57</f>
        <v>0.03</v>
      </c>
      <c r="C57" s="188" t="s">
        <v>39</v>
      </c>
      <c r="D57" s="188" t="s">
        <v>40</v>
      </c>
      <c r="E57" s="188" t="s">
        <v>29</v>
      </c>
      <c r="F57" s="37" t="s">
        <v>35</v>
      </c>
      <c r="G57" s="188" t="s">
        <v>33</v>
      </c>
      <c r="H57" s="188">
        <v>2</v>
      </c>
      <c r="I57" s="188">
        <f t="shared" ref="I57" si="2">LN(B57)</f>
        <v>-3.5065578973199818</v>
      </c>
      <c r="J57" s="188">
        <v>7.2284161474004766E-2</v>
      </c>
      <c r="K57" s="188" t="s">
        <v>31</v>
      </c>
      <c r="L57" s="188" t="s">
        <v>31</v>
      </c>
      <c r="M57" s="188" t="s">
        <v>31</v>
      </c>
      <c r="N57" s="188"/>
      <c r="O57" s="383" t="s">
        <v>248</v>
      </c>
      <c r="P57" s="414">
        <v>0.03</v>
      </c>
      <c r="Q57" s="188" t="s">
        <v>248</v>
      </c>
      <c r="R57" s="350">
        <f>P57</f>
        <v>0.03</v>
      </c>
      <c r="S57" s="188"/>
      <c r="T57" s="188"/>
      <c r="U57" s="188"/>
    </row>
    <row r="58" spans="1:21">
      <c r="A58" s="370" t="s">
        <v>5</v>
      </c>
      <c r="B58" s="106" t="s">
        <v>1175</v>
      </c>
      <c r="C58" s="372"/>
      <c r="D58" s="353"/>
      <c r="E58" s="353"/>
      <c r="F58" s="353"/>
      <c r="G58" s="353"/>
      <c r="H58" s="353"/>
      <c r="I58" s="353"/>
      <c r="J58" s="353"/>
      <c r="K58" s="353"/>
      <c r="L58" s="353"/>
      <c r="M58" s="353"/>
      <c r="N58" s="188"/>
      <c r="O58" s="188"/>
      <c r="P58" s="188"/>
      <c r="Q58" s="188"/>
      <c r="R58" s="188"/>
      <c r="S58" s="188"/>
      <c r="T58" s="188"/>
      <c r="U58" s="188"/>
    </row>
    <row r="59" spans="1:21">
      <c r="A59" s="346" t="s">
        <v>7</v>
      </c>
      <c r="B59" s="188" t="s">
        <v>786</v>
      </c>
      <c r="C59" s="345"/>
      <c r="D59" s="188"/>
      <c r="E59" s="188"/>
      <c r="F59" s="188"/>
      <c r="G59" s="188"/>
      <c r="H59" s="188"/>
      <c r="I59" s="188"/>
      <c r="J59" s="188"/>
      <c r="K59" s="188"/>
      <c r="L59" s="188"/>
      <c r="M59" s="188"/>
      <c r="N59" s="188"/>
      <c r="O59" s="188"/>
      <c r="P59" s="188"/>
      <c r="Q59" s="188"/>
      <c r="R59" s="188"/>
      <c r="S59" s="188"/>
      <c r="T59" s="188"/>
      <c r="U59" s="188"/>
    </row>
    <row r="60" spans="1:21">
      <c r="A60" s="424" t="s">
        <v>9</v>
      </c>
      <c r="B60" s="188" t="s">
        <v>1177</v>
      </c>
      <c r="C60" s="345"/>
      <c r="D60" s="188"/>
      <c r="E60" s="188"/>
      <c r="F60" s="188"/>
      <c r="G60" s="188"/>
      <c r="H60" s="188"/>
      <c r="I60" s="188"/>
      <c r="J60" s="188"/>
      <c r="K60" s="188"/>
      <c r="L60" s="188"/>
      <c r="M60" s="188"/>
      <c r="N60" s="188"/>
      <c r="O60" s="188"/>
      <c r="P60" s="188"/>
      <c r="Q60" s="188"/>
      <c r="R60" s="188"/>
      <c r="S60" s="188"/>
      <c r="T60" s="188"/>
      <c r="U60" s="188"/>
    </row>
    <row r="61" spans="1:21" ht="27.75" customHeight="1">
      <c r="A61" s="346" t="s">
        <v>11</v>
      </c>
      <c r="B61" s="347" t="s">
        <v>796</v>
      </c>
      <c r="C61" s="188"/>
      <c r="D61" s="188"/>
      <c r="E61" s="188"/>
      <c r="F61" s="188"/>
      <c r="G61" s="188"/>
      <c r="H61" s="188"/>
      <c r="I61" s="188"/>
      <c r="J61" s="188"/>
      <c r="K61" s="188"/>
      <c r="L61" s="188"/>
      <c r="M61" s="188"/>
      <c r="N61" s="188"/>
      <c r="O61" s="188"/>
      <c r="P61" s="188"/>
      <c r="Q61" s="188"/>
      <c r="R61" s="188"/>
      <c r="S61" s="188"/>
      <c r="T61" s="188"/>
      <c r="U61" s="188"/>
    </row>
    <row r="62" spans="1:21">
      <c r="A62" s="346"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46"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46"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46"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43"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43" t="s">
        <v>20</v>
      </c>
      <c r="B67" s="344" t="s">
        <v>21</v>
      </c>
      <c r="C67" s="344" t="s">
        <v>18</v>
      </c>
      <c r="D67" s="344" t="s">
        <v>22</v>
      </c>
      <c r="E67" s="344" t="s">
        <v>7</v>
      </c>
      <c r="F67" s="344" t="s">
        <v>13</v>
      </c>
      <c r="G67" s="344" t="s">
        <v>16</v>
      </c>
      <c r="H67" s="344" t="s">
        <v>23</v>
      </c>
      <c r="I67" s="344" t="s">
        <v>24</v>
      </c>
      <c r="J67" s="344" t="s">
        <v>25</v>
      </c>
      <c r="K67" s="344" t="s">
        <v>26</v>
      </c>
      <c r="L67" s="344" t="s">
        <v>27</v>
      </c>
      <c r="M67" s="344" t="s">
        <v>28</v>
      </c>
      <c r="N67" s="344" t="s">
        <v>11</v>
      </c>
      <c r="O67" s="188"/>
      <c r="P67" s="188"/>
      <c r="Q67" s="188"/>
      <c r="R67" s="188"/>
      <c r="S67" s="188"/>
      <c r="T67" s="188"/>
      <c r="U67" s="188"/>
    </row>
    <row r="68" spans="1:21">
      <c r="A68" s="88" t="s">
        <v>1175</v>
      </c>
      <c r="B68" s="188">
        <v>1</v>
      </c>
      <c r="C68" s="188" t="s">
        <v>18</v>
      </c>
      <c r="D68" s="408" t="s">
        <v>2</v>
      </c>
      <c r="E68" s="188" t="s">
        <v>29</v>
      </c>
      <c r="F68" s="37" t="s">
        <v>14</v>
      </c>
      <c r="G68" s="188" t="s">
        <v>30</v>
      </c>
      <c r="H68" s="188">
        <v>1</v>
      </c>
      <c r="I68" s="415">
        <f>B68</f>
        <v>1</v>
      </c>
      <c r="J68" s="188" t="s">
        <v>31</v>
      </c>
      <c r="K68" s="188" t="s">
        <v>31</v>
      </c>
      <c r="L68" s="188" t="s">
        <v>31</v>
      </c>
      <c r="M68" s="188" t="s">
        <v>31</v>
      </c>
      <c r="N68" s="188"/>
      <c r="O68" s="188"/>
      <c r="P68" s="188"/>
      <c r="Q68" s="188"/>
      <c r="R68" s="188"/>
      <c r="S68" s="188"/>
      <c r="T68" s="188"/>
      <c r="U68" s="188"/>
    </row>
    <row r="69" spans="1:21">
      <c r="A69" s="88" t="s">
        <v>1178</v>
      </c>
      <c r="B69" s="392">
        <f>B77</f>
        <v>0.06</v>
      </c>
      <c r="C69" s="188" t="s">
        <v>37</v>
      </c>
      <c r="D69" s="408" t="s">
        <v>2</v>
      </c>
      <c r="E69" s="188" t="s">
        <v>29</v>
      </c>
      <c r="F69" s="37" t="s">
        <v>14</v>
      </c>
      <c r="G69" s="188" t="s">
        <v>33</v>
      </c>
      <c r="H69" s="188">
        <v>1</v>
      </c>
      <c r="I69" s="415">
        <f>B69</f>
        <v>0.06</v>
      </c>
      <c r="J69" s="188" t="s">
        <v>31</v>
      </c>
      <c r="K69" s="188" t="s">
        <v>31</v>
      </c>
      <c r="L69" s="188" t="s">
        <v>31</v>
      </c>
      <c r="M69" s="188" t="s">
        <v>31</v>
      </c>
      <c r="N69" s="188"/>
      <c r="O69" s="383"/>
      <c r="P69" s="394"/>
      <c r="Q69" s="188" t="s">
        <v>241</v>
      </c>
      <c r="R69" s="392">
        <v>0.01</v>
      </c>
      <c r="S69" s="188"/>
      <c r="T69" s="188"/>
      <c r="U69" s="188"/>
    </row>
    <row r="70" spans="1:21">
      <c r="A70" s="88" t="s">
        <v>1179</v>
      </c>
      <c r="B70" s="350">
        <v>1</v>
      </c>
      <c r="C70" s="188" t="s">
        <v>18</v>
      </c>
      <c r="D70" s="408" t="s">
        <v>2</v>
      </c>
      <c r="E70" s="188" t="s">
        <v>29</v>
      </c>
      <c r="F70" s="37" t="s">
        <v>14</v>
      </c>
      <c r="G70" s="188" t="s">
        <v>33</v>
      </c>
      <c r="H70" s="188">
        <v>1</v>
      </c>
      <c r="I70" s="415">
        <f>B70</f>
        <v>1</v>
      </c>
      <c r="J70" s="188" t="s">
        <v>31</v>
      </c>
      <c r="K70" s="188" t="s">
        <v>31</v>
      </c>
      <c r="L70" s="188" t="s">
        <v>31</v>
      </c>
      <c r="M70" s="188" t="s">
        <v>31</v>
      </c>
      <c r="N70" s="188"/>
      <c r="O70" s="383"/>
      <c r="P70" s="440"/>
      <c r="Q70" s="188"/>
      <c r="R70" s="350"/>
      <c r="S70" s="188"/>
      <c r="T70" s="188"/>
      <c r="U70" s="188"/>
    </row>
    <row r="71" spans="1:21">
      <c r="A71" s="346" t="s">
        <v>269</v>
      </c>
      <c r="B71" s="350">
        <f>R71</f>
        <v>0.41</v>
      </c>
      <c r="C71" s="188" t="s">
        <v>39</v>
      </c>
      <c r="D71" s="188" t="s">
        <v>40</v>
      </c>
      <c r="E71" s="188" t="s">
        <v>29</v>
      </c>
      <c r="F71" s="37" t="s">
        <v>35</v>
      </c>
      <c r="G71" s="188" t="s">
        <v>33</v>
      </c>
      <c r="H71" s="188">
        <v>2</v>
      </c>
      <c r="I71" s="188">
        <f t="shared" ref="I71" si="3">LN(B71)</f>
        <v>-0.89159811928378363</v>
      </c>
      <c r="J71" s="188">
        <v>7.2284161474004766E-2</v>
      </c>
      <c r="K71" s="188" t="s">
        <v>31</v>
      </c>
      <c r="L71" s="188" t="s">
        <v>31</v>
      </c>
      <c r="M71" s="188" t="s">
        <v>31</v>
      </c>
      <c r="N71" s="188"/>
      <c r="O71" s="383" t="s">
        <v>248</v>
      </c>
      <c r="P71" s="440">
        <v>0.41</v>
      </c>
      <c r="Q71" s="188" t="s">
        <v>248</v>
      </c>
      <c r="R71" s="350">
        <f>P71</f>
        <v>0.41</v>
      </c>
      <c r="S71" s="188"/>
      <c r="T71" s="188"/>
      <c r="U71" s="188"/>
    </row>
    <row r="72" spans="1:21">
      <c r="A72" s="370" t="s">
        <v>5</v>
      </c>
      <c r="B72" s="106" t="s">
        <v>1178</v>
      </c>
      <c r="C72" s="372"/>
      <c r="D72" s="353"/>
      <c r="E72" s="353"/>
      <c r="F72" s="353"/>
      <c r="G72" s="353"/>
      <c r="H72" s="353"/>
      <c r="I72" s="353"/>
      <c r="J72" s="353"/>
      <c r="K72" s="353"/>
      <c r="L72" s="353"/>
      <c r="M72" s="353"/>
      <c r="N72" s="188"/>
      <c r="O72" s="188"/>
      <c r="P72" s="188"/>
      <c r="Q72" s="188"/>
      <c r="R72" s="188"/>
      <c r="S72" s="188"/>
      <c r="T72" s="188"/>
      <c r="U72" s="188"/>
    </row>
    <row r="73" spans="1:21">
      <c r="A73" s="346" t="s">
        <v>7</v>
      </c>
      <c r="B73" s="188" t="s">
        <v>786</v>
      </c>
      <c r="C73" s="345"/>
      <c r="D73" s="188"/>
      <c r="E73" s="188"/>
      <c r="F73" s="188"/>
      <c r="G73" s="188"/>
      <c r="H73" s="188"/>
      <c r="I73" s="188"/>
      <c r="J73" s="188"/>
      <c r="K73" s="188"/>
      <c r="L73" s="188"/>
      <c r="M73" s="188"/>
      <c r="N73" s="188"/>
      <c r="O73" s="188"/>
      <c r="P73" s="188"/>
      <c r="Q73" s="188"/>
      <c r="R73" s="188"/>
      <c r="S73" s="188"/>
      <c r="T73" s="188"/>
      <c r="U73" s="188"/>
    </row>
    <row r="74" spans="1:21">
      <c r="A74" s="424" t="s">
        <v>9</v>
      </c>
      <c r="B74" s="188" t="s">
        <v>1180</v>
      </c>
      <c r="C74" s="345"/>
      <c r="D74" s="188"/>
      <c r="E74" s="188"/>
      <c r="F74" s="188"/>
      <c r="G74" s="188"/>
      <c r="H74" s="188"/>
      <c r="I74" s="188"/>
      <c r="J74" s="188"/>
      <c r="K74" s="188"/>
      <c r="L74" s="188"/>
      <c r="M74" s="188"/>
      <c r="N74" s="188"/>
      <c r="O74" s="188"/>
      <c r="P74" s="188"/>
      <c r="Q74" s="188"/>
      <c r="R74" s="188"/>
      <c r="S74" s="188"/>
      <c r="T74" s="188"/>
      <c r="U74" s="188"/>
    </row>
    <row r="75" spans="1:21" ht="15" customHeight="1">
      <c r="A75" s="346" t="s">
        <v>11</v>
      </c>
      <c r="B75" s="347" t="s">
        <v>796</v>
      </c>
      <c r="C75" s="188"/>
      <c r="D75" s="188"/>
      <c r="E75" s="188"/>
      <c r="F75" s="188"/>
      <c r="G75" s="188"/>
      <c r="H75" s="188"/>
      <c r="I75" s="188"/>
      <c r="J75" s="188"/>
      <c r="K75" s="188"/>
      <c r="L75" s="188"/>
      <c r="M75" s="188"/>
      <c r="N75" s="188"/>
      <c r="O75" s="188"/>
      <c r="P75" s="188"/>
      <c r="Q75" s="188"/>
      <c r="R75" s="188"/>
      <c r="S75" s="188"/>
      <c r="T75" s="188"/>
      <c r="U75" s="188"/>
    </row>
    <row r="76" spans="1:21">
      <c r="A76" s="346"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46" t="s">
        <v>15</v>
      </c>
      <c r="B77" s="358">
        <f>B82</f>
        <v>0.06</v>
      </c>
      <c r="C77" s="188"/>
      <c r="D77" s="188"/>
      <c r="E77" s="188"/>
      <c r="F77" s="188"/>
      <c r="G77" s="188"/>
      <c r="H77" s="188"/>
      <c r="I77" s="188"/>
      <c r="J77" s="188"/>
      <c r="K77" s="188"/>
      <c r="L77" s="188"/>
      <c r="M77" s="188"/>
      <c r="N77" s="188"/>
      <c r="O77" s="188"/>
      <c r="P77" s="188"/>
      <c r="Q77" s="188"/>
      <c r="R77" s="188"/>
      <c r="S77" s="188"/>
      <c r="T77" s="188"/>
      <c r="U77" s="188"/>
    </row>
    <row r="78" spans="1:21">
      <c r="A78" s="346"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46"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43"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43" t="s">
        <v>20</v>
      </c>
      <c r="B81" s="344" t="s">
        <v>21</v>
      </c>
      <c r="C81" s="344" t="s">
        <v>18</v>
      </c>
      <c r="D81" s="344" t="s">
        <v>22</v>
      </c>
      <c r="E81" s="344" t="s">
        <v>7</v>
      </c>
      <c r="F81" s="344" t="s">
        <v>13</v>
      </c>
      <c r="G81" s="344" t="s">
        <v>16</v>
      </c>
      <c r="H81" s="344" t="s">
        <v>23</v>
      </c>
      <c r="I81" s="344" t="s">
        <v>24</v>
      </c>
      <c r="J81" s="344" t="s">
        <v>25</v>
      </c>
      <c r="K81" s="344" t="s">
        <v>26</v>
      </c>
      <c r="L81" s="344" t="s">
        <v>27</v>
      </c>
      <c r="M81" s="344" t="s">
        <v>28</v>
      </c>
      <c r="N81" s="344" t="s">
        <v>11</v>
      </c>
      <c r="O81" s="188"/>
      <c r="P81" s="188"/>
      <c r="Q81" s="188"/>
      <c r="R81" s="188"/>
      <c r="S81" s="188"/>
      <c r="T81" s="188"/>
      <c r="U81" s="188"/>
    </row>
    <row r="82" spans="1:21">
      <c r="A82" s="88" t="s">
        <v>1178</v>
      </c>
      <c r="B82" s="358">
        <v>0.06</v>
      </c>
      <c r="C82" s="188" t="s">
        <v>37</v>
      </c>
      <c r="D82" s="408" t="s">
        <v>2</v>
      </c>
      <c r="E82" s="188" t="s">
        <v>29</v>
      </c>
      <c r="F82" s="37" t="s">
        <v>14</v>
      </c>
      <c r="G82" s="188" t="s">
        <v>30</v>
      </c>
      <c r="H82" s="188">
        <v>1</v>
      </c>
      <c r="I82" s="415">
        <f>B82</f>
        <v>0.06</v>
      </c>
      <c r="J82" s="188" t="s">
        <v>31</v>
      </c>
      <c r="K82" s="188" t="s">
        <v>31</v>
      </c>
      <c r="L82" s="188" t="s">
        <v>31</v>
      </c>
      <c r="M82" s="188" t="s">
        <v>31</v>
      </c>
      <c r="N82" s="188"/>
      <c r="O82" s="383"/>
      <c r="P82" s="394"/>
      <c r="Q82" s="188" t="s">
        <v>241</v>
      </c>
      <c r="R82" s="392">
        <v>0.01</v>
      </c>
      <c r="S82" s="188"/>
      <c r="T82" s="188"/>
      <c r="U82" s="188"/>
    </row>
    <row r="83" spans="1:21">
      <c r="A83" s="88" t="s">
        <v>653</v>
      </c>
      <c r="B83" s="192">
        <v>0.06</v>
      </c>
      <c r="C83" s="188" t="s">
        <v>37</v>
      </c>
      <c r="D83" s="188" t="s">
        <v>40</v>
      </c>
      <c r="E83" s="188" t="s">
        <v>29</v>
      </c>
      <c r="F83" s="37" t="s">
        <v>59</v>
      </c>
      <c r="G83" s="188" t="s">
        <v>33</v>
      </c>
      <c r="H83" s="188">
        <v>1</v>
      </c>
      <c r="I83" s="415">
        <f>B83</f>
        <v>0.06</v>
      </c>
      <c r="J83" s="188" t="s">
        <v>31</v>
      </c>
      <c r="K83" s="188" t="s">
        <v>31</v>
      </c>
      <c r="L83" s="188" t="s">
        <v>31</v>
      </c>
      <c r="M83" s="188" t="s">
        <v>31</v>
      </c>
      <c r="N83" s="188"/>
      <c r="O83" s="383"/>
      <c r="P83" s="440"/>
      <c r="Q83" s="188"/>
      <c r="R83" s="350"/>
      <c r="S83" s="188"/>
      <c r="T83" s="188"/>
      <c r="U83" s="188"/>
    </row>
    <row r="84" spans="1:21">
      <c r="A84" s="88" t="s">
        <v>707</v>
      </c>
      <c r="B84" s="188">
        <v>0.06</v>
      </c>
      <c r="C84" s="188" t="s">
        <v>37</v>
      </c>
      <c r="D84" s="188" t="s">
        <v>40</v>
      </c>
      <c r="E84" s="188" t="s">
        <v>29</v>
      </c>
      <c r="F84" s="188" t="s">
        <v>59</v>
      </c>
      <c r="G84" s="188" t="s">
        <v>33</v>
      </c>
      <c r="H84" s="188">
        <v>1</v>
      </c>
      <c r="I84" s="415">
        <f>B84</f>
        <v>0.06</v>
      </c>
      <c r="J84" s="188" t="s">
        <v>31</v>
      </c>
      <c r="K84" s="188" t="s">
        <v>31</v>
      </c>
      <c r="L84" s="188" t="s">
        <v>31</v>
      </c>
      <c r="M84" s="188" t="s">
        <v>31</v>
      </c>
      <c r="N84" s="188"/>
      <c r="O84" s="188"/>
      <c r="P84" s="188"/>
      <c r="Q84" s="188"/>
      <c r="R84" s="188"/>
      <c r="S84" s="188"/>
      <c r="T84" s="188"/>
      <c r="U84" s="188"/>
    </row>
    <row r="85" spans="1:21" s="70" customFormat="1">
      <c r="A85" s="370" t="s">
        <v>5</v>
      </c>
      <c r="B85" s="494" t="s">
        <v>1179</v>
      </c>
      <c r="C85" s="372"/>
      <c r="D85" s="353"/>
      <c r="E85" s="353"/>
      <c r="F85" s="353"/>
      <c r="G85" s="353"/>
      <c r="H85" s="353"/>
      <c r="I85" s="353"/>
      <c r="J85" s="353"/>
      <c r="K85" s="353"/>
      <c r="L85" s="353"/>
      <c r="M85" s="353"/>
      <c r="N85" s="353"/>
      <c r="O85" s="353"/>
      <c r="P85" s="353"/>
      <c r="Q85" s="353"/>
      <c r="R85" s="353"/>
      <c r="S85" s="353"/>
      <c r="T85" s="353"/>
      <c r="U85" s="353"/>
    </row>
    <row r="86" spans="1:21">
      <c r="A86" s="346" t="s">
        <v>7</v>
      </c>
      <c r="B86" s="188" t="s">
        <v>786</v>
      </c>
      <c r="C86" s="345"/>
      <c r="D86" s="188"/>
      <c r="E86" s="188"/>
      <c r="F86" s="188"/>
      <c r="G86" s="188"/>
      <c r="H86" s="188"/>
      <c r="I86" s="188"/>
      <c r="J86" s="188"/>
      <c r="K86" s="188"/>
      <c r="L86" s="188"/>
      <c r="M86" s="188"/>
      <c r="N86" s="188"/>
      <c r="O86" s="188"/>
      <c r="P86" s="188"/>
      <c r="Q86" s="188"/>
      <c r="R86" s="188"/>
      <c r="S86" s="188"/>
      <c r="T86" s="188"/>
      <c r="U86" s="188"/>
    </row>
    <row r="87" spans="1:21">
      <c r="A87" s="424" t="s">
        <v>9</v>
      </c>
      <c r="B87" s="188" t="s">
        <v>1181</v>
      </c>
      <c r="C87" s="345"/>
      <c r="D87" s="188"/>
      <c r="E87" s="188"/>
      <c r="F87" s="188"/>
      <c r="G87" s="188"/>
      <c r="H87" s="188"/>
      <c r="I87" s="188"/>
      <c r="J87" s="188"/>
      <c r="K87" s="188"/>
      <c r="L87" s="188"/>
      <c r="M87" s="188"/>
      <c r="N87" s="188"/>
      <c r="O87" s="188"/>
      <c r="P87" s="188"/>
      <c r="Q87" s="188"/>
      <c r="R87" s="188"/>
      <c r="S87" s="188"/>
      <c r="T87" s="188"/>
      <c r="U87" s="188"/>
    </row>
    <row r="88" spans="1:21" ht="15.75" customHeight="1">
      <c r="A88" s="346" t="s">
        <v>11</v>
      </c>
      <c r="B88" s="347" t="s">
        <v>796</v>
      </c>
      <c r="C88" s="188"/>
      <c r="D88" s="188"/>
      <c r="E88" s="188"/>
      <c r="F88" s="188"/>
      <c r="G88" s="188"/>
      <c r="H88" s="188"/>
      <c r="I88" s="188"/>
      <c r="J88" s="188"/>
      <c r="K88" s="188"/>
      <c r="L88" s="188"/>
      <c r="M88" s="188"/>
      <c r="N88" s="188"/>
      <c r="O88" s="188"/>
      <c r="P88" s="188"/>
      <c r="Q88" s="188"/>
      <c r="R88" s="188"/>
      <c r="S88" s="188"/>
      <c r="T88" s="188"/>
      <c r="U88" s="188"/>
    </row>
    <row r="89" spans="1:21">
      <c r="A89" s="346"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46"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46"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46"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43"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43" t="s">
        <v>20</v>
      </c>
      <c r="B94" s="344" t="s">
        <v>21</v>
      </c>
      <c r="C94" s="344" t="s">
        <v>18</v>
      </c>
      <c r="D94" s="344" t="s">
        <v>22</v>
      </c>
      <c r="E94" s="344" t="s">
        <v>7</v>
      </c>
      <c r="F94" s="344" t="s">
        <v>13</v>
      </c>
      <c r="G94" s="344" t="s">
        <v>16</v>
      </c>
      <c r="H94" s="344" t="s">
        <v>23</v>
      </c>
      <c r="I94" s="344" t="s">
        <v>24</v>
      </c>
      <c r="J94" s="344" t="s">
        <v>25</v>
      </c>
      <c r="K94" s="344" t="s">
        <v>26</v>
      </c>
      <c r="L94" s="344" t="s">
        <v>27</v>
      </c>
      <c r="M94" s="344" t="s">
        <v>28</v>
      </c>
      <c r="N94" s="344" t="s">
        <v>11</v>
      </c>
      <c r="O94" s="188"/>
      <c r="P94" s="188"/>
      <c r="Q94" s="188"/>
      <c r="R94" s="188"/>
      <c r="S94" s="188"/>
      <c r="T94" s="188"/>
      <c r="U94" s="188"/>
    </row>
    <row r="95" spans="1:21">
      <c r="A95" s="88" t="s">
        <v>1179</v>
      </c>
      <c r="B95" s="350">
        <v>1</v>
      </c>
      <c r="C95" s="188" t="s">
        <v>18</v>
      </c>
      <c r="D95" s="408" t="s">
        <v>2</v>
      </c>
      <c r="E95" s="188" t="s">
        <v>29</v>
      </c>
      <c r="F95" s="37" t="s">
        <v>14</v>
      </c>
      <c r="G95" s="188" t="s">
        <v>30</v>
      </c>
      <c r="H95" s="188">
        <v>1</v>
      </c>
      <c r="I95" s="415">
        <f>B95</f>
        <v>1</v>
      </c>
      <c r="J95" s="188" t="s">
        <v>31</v>
      </c>
      <c r="K95" s="188" t="s">
        <v>31</v>
      </c>
      <c r="L95" s="188" t="s">
        <v>31</v>
      </c>
      <c r="M95" s="188" t="s">
        <v>31</v>
      </c>
      <c r="N95" s="188"/>
      <c r="O95" s="383"/>
      <c r="P95" s="440"/>
      <c r="Q95" s="188"/>
      <c r="R95" s="350"/>
      <c r="S95" s="188"/>
      <c r="T95" s="188"/>
      <c r="U95" s="188"/>
    </row>
    <row r="96" spans="1:21">
      <c r="A96" s="88" t="s">
        <v>1182</v>
      </c>
      <c r="B96" s="188">
        <v>1</v>
      </c>
      <c r="C96" s="188" t="s">
        <v>18</v>
      </c>
      <c r="D96" s="408" t="s">
        <v>2</v>
      </c>
      <c r="E96" s="188" t="s">
        <v>29</v>
      </c>
      <c r="F96" s="37" t="s">
        <v>14</v>
      </c>
      <c r="G96" s="188" t="s">
        <v>33</v>
      </c>
      <c r="H96" s="188">
        <v>1</v>
      </c>
      <c r="I96" s="415">
        <f>B96</f>
        <v>1</v>
      </c>
      <c r="J96" s="188" t="s">
        <v>31</v>
      </c>
      <c r="K96" s="188" t="s">
        <v>31</v>
      </c>
      <c r="L96" s="188" t="s">
        <v>31</v>
      </c>
      <c r="M96" s="188" t="s">
        <v>31</v>
      </c>
      <c r="N96" s="188"/>
      <c r="O96" s="383"/>
      <c r="P96" s="440"/>
      <c r="Q96" s="188"/>
      <c r="R96" s="188"/>
      <c r="S96" s="188"/>
      <c r="T96" s="188"/>
      <c r="U96" s="188"/>
    </row>
    <row r="97" spans="1:21">
      <c r="A97" s="346" t="s">
        <v>269</v>
      </c>
      <c r="B97" s="350">
        <f>R97</f>
        <v>0.05</v>
      </c>
      <c r="C97" s="188" t="s">
        <v>39</v>
      </c>
      <c r="D97" s="188" t="s">
        <v>40</v>
      </c>
      <c r="E97" s="188" t="s">
        <v>29</v>
      </c>
      <c r="F97" s="37" t="s">
        <v>35</v>
      </c>
      <c r="G97" s="188" t="s">
        <v>33</v>
      </c>
      <c r="H97" s="188">
        <v>2</v>
      </c>
      <c r="I97" s="188">
        <f t="shared" ref="I97" si="4">LN(B97)</f>
        <v>-2.9957322735539909</v>
      </c>
      <c r="J97" s="188">
        <v>7.2284161474004766E-2</v>
      </c>
      <c r="K97" s="188" t="s">
        <v>31</v>
      </c>
      <c r="L97" s="188" t="s">
        <v>31</v>
      </c>
      <c r="M97" s="188" t="s">
        <v>31</v>
      </c>
      <c r="N97" s="188"/>
      <c r="O97" s="383" t="s">
        <v>248</v>
      </c>
      <c r="P97" s="440">
        <v>0.05</v>
      </c>
      <c r="Q97" s="188" t="s">
        <v>248</v>
      </c>
      <c r="R97" s="350">
        <f>P97</f>
        <v>0.05</v>
      </c>
      <c r="S97" s="188"/>
      <c r="T97" s="188"/>
      <c r="U97" s="188"/>
    </row>
    <row r="98" spans="1:21" s="70" customFormat="1">
      <c r="A98" s="370" t="s">
        <v>5</v>
      </c>
      <c r="B98" s="106" t="s">
        <v>1182</v>
      </c>
      <c r="C98" s="372"/>
      <c r="D98" s="353"/>
      <c r="E98" s="353"/>
      <c r="F98" s="353"/>
      <c r="G98" s="353"/>
      <c r="H98" s="353"/>
      <c r="I98" s="353"/>
      <c r="J98" s="353"/>
      <c r="K98" s="353"/>
      <c r="L98" s="353"/>
      <c r="M98" s="353"/>
      <c r="N98" s="353"/>
      <c r="O98" s="353"/>
      <c r="P98" s="353"/>
      <c r="Q98" s="353"/>
      <c r="R98" s="353"/>
      <c r="S98" s="353"/>
      <c r="T98" s="353"/>
      <c r="U98" s="353"/>
    </row>
    <row r="99" spans="1:21">
      <c r="A99" s="346" t="s">
        <v>7</v>
      </c>
      <c r="B99" s="188" t="s">
        <v>786</v>
      </c>
      <c r="C99" s="345"/>
      <c r="D99" s="188"/>
      <c r="E99" s="188"/>
      <c r="F99" s="188"/>
      <c r="G99" s="188"/>
      <c r="H99" s="188"/>
      <c r="I99" s="188"/>
      <c r="J99" s="188"/>
      <c r="K99" s="188"/>
      <c r="L99" s="188"/>
      <c r="M99" s="188"/>
      <c r="N99" s="188"/>
      <c r="O99" s="188"/>
      <c r="P99" s="188"/>
      <c r="Q99" s="188"/>
      <c r="R99" s="188"/>
      <c r="S99" s="188"/>
      <c r="T99" s="188"/>
      <c r="U99" s="188"/>
    </row>
    <row r="100" spans="1:21">
      <c r="A100" s="424" t="s">
        <v>9</v>
      </c>
      <c r="B100" s="188" t="s">
        <v>1183</v>
      </c>
      <c r="C100" s="345"/>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46" t="s">
        <v>11</v>
      </c>
      <c r="B101" s="347" t="s">
        <v>796</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46"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46"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46"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46"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43"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43" t="s">
        <v>20</v>
      </c>
      <c r="B107" s="344" t="s">
        <v>21</v>
      </c>
      <c r="C107" s="344" t="s">
        <v>18</v>
      </c>
      <c r="D107" s="344" t="s">
        <v>22</v>
      </c>
      <c r="E107" s="344" t="s">
        <v>7</v>
      </c>
      <c r="F107" s="344" t="s">
        <v>13</v>
      </c>
      <c r="G107" s="344" t="s">
        <v>16</v>
      </c>
      <c r="H107" s="344" t="s">
        <v>23</v>
      </c>
      <c r="I107" s="344" t="s">
        <v>24</v>
      </c>
      <c r="J107" s="344" t="s">
        <v>25</v>
      </c>
      <c r="K107" s="344" t="s">
        <v>26</v>
      </c>
      <c r="L107" s="344" t="s">
        <v>27</v>
      </c>
      <c r="M107" s="344" t="s">
        <v>28</v>
      </c>
      <c r="N107" s="344" t="s">
        <v>11</v>
      </c>
      <c r="O107" s="188"/>
      <c r="P107" s="188"/>
      <c r="Q107" s="188"/>
      <c r="R107" s="188"/>
      <c r="S107" s="188"/>
      <c r="T107" s="188"/>
      <c r="U107" s="188"/>
    </row>
    <row r="108" spans="1:21">
      <c r="A108" s="88" t="s">
        <v>1182</v>
      </c>
      <c r="B108" s="188">
        <v>1</v>
      </c>
      <c r="C108" s="188" t="s">
        <v>18</v>
      </c>
      <c r="D108" s="188" t="s">
        <v>2</v>
      </c>
      <c r="E108" s="188" t="s">
        <v>29</v>
      </c>
      <c r="F108" s="37" t="s">
        <v>14</v>
      </c>
      <c r="G108" s="188" t="s">
        <v>30</v>
      </c>
      <c r="H108" s="188">
        <v>1</v>
      </c>
      <c r="I108" s="415">
        <f>B108</f>
        <v>1</v>
      </c>
      <c r="J108" s="188" t="s">
        <v>31</v>
      </c>
      <c r="K108" s="188" t="s">
        <v>31</v>
      </c>
      <c r="L108" s="188" t="s">
        <v>31</v>
      </c>
      <c r="M108" s="188" t="s">
        <v>31</v>
      </c>
      <c r="N108" s="188"/>
      <c r="O108" s="188"/>
      <c r="P108" s="468"/>
      <c r="Q108" s="375" t="s">
        <v>1184</v>
      </c>
      <c r="R108" s="188"/>
      <c r="S108" s="188"/>
      <c r="T108" s="188"/>
      <c r="U108" s="188"/>
    </row>
    <row r="109" spans="1:21">
      <c r="A109" s="346" t="s">
        <v>1185</v>
      </c>
      <c r="B109" s="441">
        <f>B133</f>
        <v>3.9E-2</v>
      </c>
      <c r="C109" s="188" t="s">
        <v>609</v>
      </c>
      <c r="D109" s="188" t="s">
        <v>2</v>
      </c>
      <c r="E109" s="188" t="s">
        <v>29</v>
      </c>
      <c r="F109" s="37" t="s">
        <v>14</v>
      </c>
      <c r="G109" s="188" t="s">
        <v>33</v>
      </c>
      <c r="H109" s="188">
        <v>1</v>
      </c>
      <c r="I109" s="415">
        <f>B109</f>
        <v>3.9E-2</v>
      </c>
      <c r="J109" s="188" t="s">
        <v>31</v>
      </c>
      <c r="K109" s="188" t="s">
        <v>31</v>
      </c>
      <c r="L109" s="188" t="s">
        <v>31</v>
      </c>
      <c r="M109" s="188" t="s">
        <v>31</v>
      </c>
      <c r="N109" s="188"/>
      <c r="O109" s="409"/>
      <c r="P109" s="410"/>
      <c r="Q109" s="188">
        <f>0.05/0.27</f>
        <v>0.18518518518518517</v>
      </c>
      <c r="R109" s="188" t="s">
        <v>838</v>
      </c>
      <c r="S109" s="188"/>
      <c r="T109" s="188"/>
      <c r="U109" s="188"/>
    </row>
    <row r="110" spans="1:21">
      <c r="A110" s="188" t="s">
        <v>1139</v>
      </c>
      <c r="B110" s="392">
        <f>R110</f>
        <v>5.5555555555555549E-3</v>
      </c>
      <c r="C110" s="381" t="s">
        <v>609</v>
      </c>
      <c r="D110" s="188" t="s">
        <v>2</v>
      </c>
      <c r="E110" s="188" t="s">
        <v>29</v>
      </c>
      <c r="F110" s="37" t="s">
        <v>14</v>
      </c>
      <c r="G110" s="188" t="s">
        <v>33</v>
      </c>
      <c r="H110" s="188">
        <v>1</v>
      </c>
      <c r="I110" s="415">
        <f>B110</f>
        <v>5.5555555555555549E-3</v>
      </c>
      <c r="J110" s="188" t="s">
        <v>31</v>
      </c>
      <c r="K110" s="188" t="s">
        <v>31</v>
      </c>
      <c r="L110" s="188" t="s">
        <v>31</v>
      </c>
      <c r="M110" s="188" t="s">
        <v>31</v>
      </c>
      <c r="N110" s="188"/>
      <c r="O110" s="442" t="s">
        <v>580</v>
      </c>
      <c r="P110" s="443">
        <v>30</v>
      </c>
      <c r="R110" s="392">
        <f>P110*0.001*Q109</f>
        <v>5.5555555555555549E-3</v>
      </c>
      <c r="S110" s="188"/>
      <c r="T110" s="188"/>
      <c r="U110" s="188"/>
    </row>
    <row r="111" spans="1:21">
      <c r="A111" s="188" t="s">
        <v>1186</v>
      </c>
      <c r="B111" s="188">
        <v>1</v>
      </c>
      <c r="C111" s="188" t="s">
        <v>18</v>
      </c>
      <c r="D111" s="188" t="s">
        <v>2</v>
      </c>
      <c r="E111" s="188" t="s">
        <v>29</v>
      </c>
      <c r="F111" s="37" t="s">
        <v>14</v>
      </c>
      <c r="G111" s="188" t="s">
        <v>33</v>
      </c>
      <c r="H111" s="188">
        <v>1</v>
      </c>
      <c r="I111" s="415">
        <f>B111</f>
        <v>1</v>
      </c>
      <c r="J111" s="188" t="s">
        <v>31</v>
      </c>
      <c r="K111" s="188" t="s">
        <v>31</v>
      </c>
      <c r="L111" s="188" t="s">
        <v>31</v>
      </c>
      <c r="M111" s="188" t="s">
        <v>31</v>
      </c>
      <c r="N111" s="188"/>
      <c r="O111" s="409"/>
      <c r="P111" s="410"/>
      <c r="Q111" s="188"/>
      <c r="R111" s="188"/>
      <c r="S111" s="188"/>
      <c r="T111" s="188"/>
      <c r="U111" s="188"/>
    </row>
    <row r="112" spans="1:21">
      <c r="A112" s="88" t="s">
        <v>179</v>
      </c>
      <c r="B112" s="392">
        <f>R112</f>
        <v>1.7000000000000001E-4</v>
      </c>
      <c r="C112" s="188" t="s">
        <v>37</v>
      </c>
      <c r="D112" s="188" t="s">
        <v>40</v>
      </c>
      <c r="E112" s="188" t="s">
        <v>29</v>
      </c>
      <c r="F112" s="37" t="s">
        <v>35</v>
      </c>
      <c r="G112" s="188" t="s">
        <v>33</v>
      </c>
      <c r="H112" s="188">
        <v>2</v>
      </c>
      <c r="I112" s="188">
        <f>LN(B112)</f>
        <v>-8.6797121209140116</v>
      </c>
      <c r="J112" s="188">
        <v>2.8722813232690055E-2</v>
      </c>
      <c r="K112" s="188" t="s">
        <v>31</v>
      </c>
      <c r="L112" s="188" t="s">
        <v>31</v>
      </c>
      <c r="M112" s="188" t="s">
        <v>31</v>
      </c>
      <c r="N112" s="188"/>
      <c r="O112" s="442" t="s">
        <v>580</v>
      </c>
      <c r="P112" s="151">
        <v>0.17</v>
      </c>
      <c r="Q112" s="188" t="s">
        <v>241</v>
      </c>
      <c r="R112" s="392">
        <f>P112*10^-3</f>
        <v>1.7000000000000001E-4</v>
      </c>
      <c r="S112" s="188"/>
      <c r="T112" s="188"/>
      <c r="U112" s="188"/>
    </row>
    <row r="113" spans="1:21" s="70" customFormat="1">
      <c r="A113" s="370" t="s">
        <v>5</v>
      </c>
      <c r="B113" s="371" t="s">
        <v>1186</v>
      </c>
      <c r="C113" s="372"/>
      <c r="D113" s="353"/>
      <c r="E113" s="353"/>
      <c r="F113" s="353"/>
      <c r="G113" s="353"/>
      <c r="H113" s="353"/>
      <c r="I113" s="353"/>
      <c r="J113" s="353"/>
      <c r="K113" s="353"/>
      <c r="L113" s="353"/>
      <c r="M113" s="353"/>
      <c r="N113" s="353"/>
      <c r="O113" s="353"/>
      <c r="P113" s="353"/>
      <c r="Q113" s="353"/>
      <c r="R113" s="353"/>
      <c r="S113" s="353"/>
      <c r="T113" s="353"/>
      <c r="U113" s="353"/>
    </row>
    <row r="114" spans="1:21">
      <c r="A114" s="346" t="s">
        <v>7</v>
      </c>
      <c r="B114" s="188" t="s">
        <v>786</v>
      </c>
      <c r="C114" s="345"/>
      <c r="D114" s="188"/>
      <c r="E114" s="188"/>
      <c r="F114" s="188"/>
      <c r="G114" s="188"/>
      <c r="H114" s="188"/>
      <c r="I114" s="188"/>
      <c r="J114" s="188"/>
      <c r="K114" s="188"/>
      <c r="L114" s="188"/>
      <c r="M114" s="188"/>
      <c r="N114" s="188"/>
      <c r="O114" s="188"/>
      <c r="P114" s="188"/>
      <c r="Q114" s="188"/>
      <c r="R114" s="188"/>
      <c r="S114" s="188"/>
      <c r="T114" s="188"/>
      <c r="U114" s="188"/>
    </row>
    <row r="115" spans="1:21">
      <c r="A115" s="424" t="s">
        <v>9</v>
      </c>
      <c r="B115" s="188" t="s">
        <v>1187</v>
      </c>
      <c r="C115" s="345"/>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46" t="s">
        <v>11</v>
      </c>
      <c r="B116" s="347" t="s">
        <v>796</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46"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46"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46"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46"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43"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43" t="s">
        <v>20</v>
      </c>
      <c r="B122" s="344" t="s">
        <v>21</v>
      </c>
      <c r="C122" s="344" t="s">
        <v>18</v>
      </c>
      <c r="D122" s="344" t="s">
        <v>22</v>
      </c>
      <c r="E122" s="344" t="s">
        <v>7</v>
      </c>
      <c r="F122" s="344" t="s">
        <v>13</v>
      </c>
      <c r="G122" s="344" t="s">
        <v>16</v>
      </c>
      <c r="H122" s="344" t="s">
        <v>23</v>
      </c>
      <c r="I122" s="344" t="s">
        <v>24</v>
      </c>
      <c r="J122" s="344" t="s">
        <v>25</v>
      </c>
      <c r="K122" s="344" t="s">
        <v>26</v>
      </c>
      <c r="L122" s="344" t="s">
        <v>27</v>
      </c>
      <c r="M122" s="344" t="s">
        <v>28</v>
      </c>
      <c r="N122" s="344" t="s">
        <v>11</v>
      </c>
      <c r="O122" s="188"/>
      <c r="P122" s="188"/>
      <c r="Q122" s="188"/>
      <c r="R122" s="188"/>
      <c r="S122" s="188"/>
      <c r="T122" s="188"/>
      <c r="U122" s="188"/>
    </row>
    <row r="123" spans="1:21">
      <c r="A123" s="188" t="s">
        <v>1186</v>
      </c>
      <c r="B123" s="188">
        <v>1</v>
      </c>
      <c r="C123" s="188" t="s">
        <v>18</v>
      </c>
      <c r="D123" s="408" t="s">
        <v>2</v>
      </c>
      <c r="E123" s="188" t="s">
        <v>29</v>
      </c>
      <c r="F123" s="37" t="s">
        <v>14</v>
      </c>
      <c r="G123" s="188" t="s">
        <v>30</v>
      </c>
      <c r="H123" s="188">
        <v>1</v>
      </c>
      <c r="I123" s="415">
        <f>B123</f>
        <v>1</v>
      </c>
      <c r="J123" s="188" t="s">
        <v>31</v>
      </c>
      <c r="K123" s="188" t="s">
        <v>31</v>
      </c>
      <c r="L123" s="188" t="s">
        <v>31</v>
      </c>
      <c r="M123" s="188" t="s">
        <v>31</v>
      </c>
      <c r="N123" s="188"/>
      <c r="O123" s="188"/>
      <c r="P123" s="188"/>
      <c r="Q123" s="188"/>
      <c r="R123" s="188"/>
      <c r="S123" s="188"/>
      <c r="T123" s="188"/>
      <c r="U123" s="188"/>
    </row>
    <row r="124" spans="1:21">
      <c r="A124" s="88" t="s">
        <v>614</v>
      </c>
      <c r="B124" s="188">
        <f>R124</f>
        <v>0.34</v>
      </c>
      <c r="C124" s="188" t="s">
        <v>37</v>
      </c>
      <c r="D124" s="188" t="s">
        <v>40</v>
      </c>
      <c r="E124" s="188" t="s">
        <v>29</v>
      </c>
      <c r="F124" s="188" t="s">
        <v>59</v>
      </c>
      <c r="G124" s="188" t="s">
        <v>33</v>
      </c>
      <c r="H124" s="188">
        <v>1</v>
      </c>
      <c r="I124" s="415">
        <f>B124</f>
        <v>0.34</v>
      </c>
      <c r="J124" s="188" t="s">
        <v>31</v>
      </c>
      <c r="K124" s="188" t="s">
        <v>31</v>
      </c>
      <c r="L124" s="188" t="s">
        <v>31</v>
      </c>
      <c r="M124" s="188" t="s">
        <v>31</v>
      </c>
      <c r="N124" s="188"/>
      <c r="O124" s="188"/>
      <c r="P124" s="188">
        <v>0.34</v>
      </c>
      <c r="Q124" s="188" t="s">
        <v>241</v>
      </c>
      <c r="R124" s="188">
        <f>P124</f>
        <v>0.34</v>
      </c>
      <c r="S124" s="188"/>
      <c r="T124" s="188"/>
      <c r="U124" s="188"/>
    </row>
    <row r="125" spans="1:21">
      <c r="A125" s="88" t="s">
        <v>913</v>
      </c>
      <c r="B125" s="188">
        <f t="shared" ref="B125:B127" si="5">R125</f>
        <v>0.224</v>
      </c>
      <c r="C125" s="188" t="s">
        <v>37</v>
      </c>
      <c r="D125" s="188" t="s">
        <v>40</v>
      </c>
      <c r="E125" s="188" t="s">
        <v>29</v>
      </c>
      <c r="F125" s="188" t="s">
        <v>59</v>
      </c>
      <c r="G125" s="188" t="s">
        <v>33</v>
      </c>
      <c r="H125" s="188">
        <v>2</v>
      </c>
      <c r="I125" s="188">
        <f>LN(B125)</f>
        <v>-1.4961092271270973</v>
      </c>
      <c r="J125" s="188">
        <v>3.7749172176353707E-2</v>
      </c>
      <c r="K125" s="188" t="s">
        <v>31</v>
      </c>
      <c r="L125" s="188" t="s">
        <v>31</v>
      </c>
      <c r="M125" s="188" t="s">
        <v>31</v>
      </c>
      <c r="N125" s="188"/>
      <c r="O125" s="401" t="s">
        <v>580</v>
      </c>
      <c r="P125" s="138">
        <v>224</v>
      </c>
      <c r="Q125" s="188" t="s">
        <v>241</v>
      </c>
      <c r="R125" s="188">
        <f>P125*0.001</f>
        <v>0.224</v>
      </c>
      <c r="S125" s="188"/>
      <c r="T125" s="188"/>
      <c r="U125" s="188"/>
    </row>
    <row r="126" spans="1:21">
      <c r="A126" s="88" t="s">
        <v>914</v>
      </c>
      <c r="B126" s="188">
        <f t="shared" si="5"/>
        <v>1.34E-2</v>
      </c>
      <c r="C126" s="188" t="s">
        <v>37</v>
      </c>
      <c r="D126" s="188" t="s">
        <v>40</v>
      </c>
      <c r="E126" s="188" t="s">
        <v>29</v>
      </c>
      <c r="F126" s="188" t="s">
        <v>59</v>
      </c>
      <c r="G126" s="188" t="s">
        <v>33</v>
      </c>
      <c r="H126" s="188">
        <v>2</v>
      </c>
      <c r="I126" s="188">
        <f>LN(B126)</f>
        <v>-4.3125005720252716</v>
      </c>
      <c r="J126" s="188">
        <v>3.7749172176353707E-2</v>
      </c>
      <c r="K126" s="188" t="s">
        <v>31</v>
      </c>
      <c r="L126" s="188" t="s">
        <v>31</v>
      </c>
      <c r="M126" s="188" t="s">
        <v>31</v>
      </c>
      <c r="N126" s="188"/>
      <c r="O126" s="401" t="s">
        <v>580</v>
      </c>
      <c r="P126" s="138">
        <v>13.4</v>
      </c>
      <c r="Q126" s="188" t="s">
        <v>241</v>
      </c>
      <c r="R126" s="188">
        <f t="shared" ref="R126:R127" si="6">P126*0.001</f>
        <v>1.34E-2</v>
      </c>
      <c r="S126" s="188"/>
      <c r="T126" s="188"/>
      <c r="U126" s="188"/>
    </row>
    <row r="127" spans="1:21">
      <c r="A127" s="88" t="s">
        <v>915</v>
      </c>
      <c r="B127" s="188">
        <f t="shared" si="5"/>
        <v>0.10100000000000001</v>
      </c>
      <c r="C127" s="188" t="s">
        <v>37</v>
      </c>
      <c r="D127" s="188" t="s">
        <v>40</v>
      </c>
      <c r="E127" s="188" t="s">
        <v>29</v>
      </c>
      <c r="F127" s="188" t="s">
        <v>59</v>
      </c>
      <c r="G127" s="188" t="s">
        <v>33</v>
      </c>
      <c r="H127" s="188">
        <v>2</v>
      </c>
      <c r="I127" s="188">
        <f>LN(B127)</f>
        <v>-2.2926347621408776</v>
      </c>
      <c r="J127" s="188">
        <v>3.7749172176353707E-2</v>
      </c>
      <c r="K127" s="188" t="s">
        <v>31</v>
      </c>
      <c r="L127" s="188" t="s">
        <v>31</v>
      </c>
      <c r="M127" s="188" t="s">
        <v>31</v>
      </c>
      <c r="N127" s="188"/>
      <c r="O127" s="401" t="s">
        <v>580</v>
      </c>
      <c r="P127" s="138">
        <v>101</v>
      </c>
      <c r="Q127" s="188" t="s">
        <v>241</v>
      </c>
      <c r="R127" s="188">
        <f t="shared" si="6"/>
        <v>0.10100000000000001</v>
      </c>
      <c r="S127" s="188"/>
      <c r="T127" s="188"/>
      <c r="U127" s="188"/>
    </row>
    <row r="128" spans="1:21" s="70" customFormat="1">
      <c r="A128" s="370" t="s">
        <v>5</v>
      </c>
      <c r="B128" s="106" t="s">
        <v>1185</v>
      </c>
      <c r="C128" s="372"/>
      <c r="D128" s="353"/>
      <c r="E128" s="353"/>
      <c r="F128" s="353"/>
      <c r="G128" s="353"/>
      <c r="H128" s="353"/>
      <c r="I128" s="353"/>
      <c r="J128" s="353"/>
      <c r="K128" s="353"/>
      <c r="L128" s="353"/>
      <c r="M128" s="353"/>
      <c r="N128" s="353"/>
      <c r="O128" s="353"/>
      <c r="P128" s="353"/>
      <c r="Q128" s="353"/>
      <c r="R128" s="353"/>
      <c r="S128" s="353"/>
      <c r="T128" s="353"/>
      <c r="U128" s="353"/>
    </row>
    <row r="129" spans="1:21">
      <c r="A129" s="346" t="s">
        <v>7</v>
      </c>
      <c r="B129" s="188" t="s">
        <v>786</v>
      </c>
      <c r="C129" s="345"/>
      <c r="D129" s="188"/>
      <c r="E129" s="188"/>
      <c r="F129" s="188"/>
      <c r="G129" s="188"/>
      <c r="H129" s="188"/>
      <c r="I129" s="188"/>
      <c r="J129" s="188"/>
      <c r="K129" s="188"/>
      <c r="L129" s="188"/>
      <c r="M129" s="188"/>
      <c r="N129" s="188"/>
      <c r="O129" s="188"/>
      <c r="P129" s="188"/>
      <c r="Q129" s="188"/>
      <c r="R129" s="188"/>
      <c r="S129" s="188"/>
      <c r="T129" s="188"/>
      <c r="U129" s="188"/>
    </row>
    <row r="130" spans="1:21">
      <c r="A130" s="424" t="s">
        <v>9</v>
      </c>
      <c r="B130" s="188" t="s">
        <v>1188</v>
      </c>
      <c r="C130" s="345"/>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46" t="s">
        <v>11</v>
      </c>
      <c r="B131" s="347" t="s">
        <v>796</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46"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46" t="s">
        <v>15</v>
      </c>
      <c r="B133" s="425">
        <f>B138</f>
        <v>3.9E-2</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46"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46" t="s">
        <v>18</v>
      </c>
      <c r="B135" s="188" t="s">
        <v>609</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43"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44" t="s">
        <v>20</v>
      </c>
      <c r="B137" s="344" t="s">
        <v>21</v>
      </c>
      <c r="C137" s="344" t="s">
        <v>18</v>
      </c>
      <c r="D137" s="344" t="s">
        <v>22</v>
      </c>
      <c r="E137" s="344" t="s">
        <v>7</v>
      </c>
      <c r="F137" s="344" t="s">
        <v>13</v>
      </c>
      <c r="G137" s="344" t="s">
        <v>16</v>
      </c>
      <c r="H137" s="344" t="s">
        <v>23</v>
      </c>
      <c r="I137" s="344" t="s">
        <v>24</v>
      </c>
      <c r="J137" s="344" t="s">
        <v>25</v>
      </c>
      <c r="K137" s="344" t="s">
        <v>26</v>
      </c>
      <c r="L137" s="344" t="s">
        <v>27</v>
      </c>
      <c r="M137" s="344" t="s">
        <v>28</v>
      </c>
      <c r="N137" s="344" t="s">
        <v>11</v>
      </c>
      <c r="O137" s="188"/>
      <c r="P137" s="188"/>
      <c r="Q137" s="188"/>
      <c r="R137" s="188"/>
      <c r="S137" s="188"/>
      <c r="T137" s="188"/>
      <c r="U137" s="188"/>
    </row>
    <row r="138" spans="1:21">
      <c r="A138" s="188" t="s">
        <v>1185</v>
      </c>
      <c r="B138" s="425">
        <f>P138</f>
        <v>3.9E-2</v>
      </c>
      <c r="C138" s="188" t="s">
        <v>609</v>
      </c>
      <c r="D138" s="408" t="s">
        <v>2</v>
      </c>
      <c r="E138" s="188" t="s">
        <v>29</v>
      </c>
      <c r="F138" s="37" t="s">
        <v>14</v>
      </c>
      <c r="G138" s="188" t="s">
        <v>30</v>
      </c>
      <c r="H138" s="188">
        <v>1</v>
      </c>
      <c r="I138" s="415">
        <f>B138</f>
        <v>3.9E-2</v>
      </c>
      <c r="J138" s="188" t="s">
        <v>31</v>
      </c>
      <c r="K138" s="188" t="s">
        <v>31</v>
      </c>
      <c r="L138" s="188" t="s">
        <v>31</v>
      </c>
      <c r="M138" s="188" t="s">
        <v>31</v>
      </c>
      <c r="N138" s="188"/>
      <c r="O138" s="409"/>
      <c r="P138" s="469">
        <f>B152</f>
        <v>3.9E-2</v>
      </c>
      <c r="Q138" s="350"/>
      <c r="R138" s="188"/>
      <c r="S138" s="188"/>
      <c r="T138" s="188"/>
      <c r="U138" s="188"/>
    </row>
    <row r="139" spans="1:21">
      <c r="A139" s="192" t="s">
        <v>1189</v>
      </c>
      <c r="B139" s="425">
        <f>P139</f>
        <v>3.9E-2</v>
      </c>
      <c r="C139" s="188" t="s">
        <v>609</v>
      </c>
      <c r="D139" s="408" t="s">
        <v>2</v>
      </c>
      <c r="E139" s="188" t="s">
        <v>29</v>
      </c>
      <c r="F139" s="37" t="s">
        <v>14</v>
      </c>
      <c r="G139" s="188" t="s">
        <v>33</v>
      </c>
      <c r="H139" s="188">
        <v>1</v>
      </c>
      <c r="I139" s="415">
        <f>B139</f>
        <v>3.9E-2</v>
      </c>
      <c r="J139" s="188" t="s">
        <v>31</v>
      </c>
      <c r="K139" s="188" t="s">
        <v>31</v>
      </c>
      <c r="L139" s="188" t="s">
        <v>31</v>
      </c>
      <c r="M139" s="188" t="s">
        <v>31</v>
      </c>
      <c r="N139" s="188"/>
      <c r="O139" s="188"/>
      <c r="P139" s="469">
        <f>B152</f>
        <v>3.9E-2</v>
      </c>
      <c r="Q139" s="188"/>
      <c r="R139" s="188"/>
      <c r="S139" s="188"/>
      <c r="T139" s="188"/>
      <c r="U139" s="188"/>
    </row>
    <row r="140" spans="1:21">
      <c r="A140" s="88" t="s">
        <v>680</v>
      </c>
      <c r="B140" s="188">
        <f>R140</f>
        <v>3.5000000000000001E-3</v>
      </c>
      <c r="C140" s="188" t="s">
        <v>37</v>
      </c>
      <c r="D140" s="188" t="s">
        <v>40</v>
      </c>
      <c r="E140" s="188" t="s">
        <v>29</v>
      </c>
      <c r="F140" s="188" t="s">
        <v>35</v>
      </c>
      <c r="G140" s="188" t="s">
        <v>33</v>
      </c>
      <c r="H140" s="188">
        <v>2</v>
      </c>
      <c r="I140" s="188">
        <f>LN(B140)</f>
        <v>-5.6549923104867688</v>
      </c>
      <c r="J140" s="188">
        <v>0.20928449536456342</v>
      </c>
      <c r="K140" s="188" t="s">
        <v>31</v>
      </c>
      <c r="L140" s="188" t="s">
        <v>31</v>
      </c>
      <c r="M140" s="188" t="s">
        <v>31</v>
      </c>
      <c r="N140" s="188"/>
      <c r="O140" s="401" t="s">
        <v>580</v>
      </c>
      <c r="P140" s="138">
        <v>3.5</v>
      </c>
      <c r="Q140" s="188" t="s">
        <v>241</v>
      </c>
      <c r="R140" s="188">
        <f>0.001*P140</f>
        <v>3.5000000000000001E-3</v>
      </c>
      <c r="S140" s="188"/>
      <c r="T140" s="188"/>
      <c r="U140" s="188"/>
    </row>
    <row r="141" spans="1:21">
      <c r="A141" s="88" t="s">
        <v>545</v>
      </c>
      <c r="B141" s="188">
        <f>R141</f>
        <v>3.5000000000000001E-3</v>
      </c>
      <c r="C141" s="188" t="s">
        <v>37</v>
      </c>
      <c r="D141" s="188" t="s">
        <v>40</v>
      </c>
      <c r="E141" s="188" t="s">
        <v>29</v>
      </c>
      <c r="F141" s="188" t="s">
        <v>35</v>
      </c>
      <c r="G141" s="188" t="s">
        <v>33</v>
      </c>
      <c r="H141" s="188">
        <v>2</v>
      </c>
      <c r="I141" s="188">
        <f>LN(B141)</f>
        <v>-5.6549923104867688</v>
      </c>
      <c r="J141" s="188">
        <v>0.20928449536456342</v>
      </c>
      <c r="K141" s="188" t="s">
        <v>31</v>
      </c>
      <c r="L141" s="188" t="s">
        <v>31</v>
      </c>
      <c r="M141" s="188" t="s">
        <v>31</v>
      </c>
      <c r="N141" s="188"/>
      <c r="O141" s="401" t="s">
        <v>580</v>
      </c>
      <c r="P141" s="138">
        <v>3.5</v>
      </c>
      <c r="Q141" s="188" t="s">
        <v>241</v>
      </c>
      <c r="R141" s="188">
        <f>0.001*P141</f>
        <v>3.5000000000000001E-3</v>
      </c>
      <c r="S141" s="188"/>
      <c r="T141" s="188"/>
      <c r="U141" s="188"/>
    </row>
    <row r="142" spans="1:21" s="70" customFormat="1">
      <c r="A142" s="370" t="s">
        <v>5</v>
      </c>
      <c r="B142" s="446" t="s">
        <v>1189</v>
      </c>
      <c r="C142" s="372"/>
      <c r="D142" s="353"/>
      <c r="E142" s="353"/>
      <c r="F142" s="353"/>
      <c r="G142" s="353"/>
      <c r="H142" s="353"/>
      <c r="I142" s="353"/>
      <c r="J142" s="353"/>
      <c r="K142" s="353"/>
      <c r="L142" s="353"/>
      <c r="M142" s="353"/>
      <c r="N142" s="353"/>
      <c r="O142" s="353"/>
      <c r="P142" s="353"/>
      <c r="Q142" s="353"/>
      <c r="R142" s="353"/>
      <c r="S142" s="353"/>
      <c r="T142" s="353"/>
      <c r="U142" s="353"/>
    </row>
    <row r="143" spans="1:21">
      <c r="A143" s="346" t="s">
        <v>7</v>
      </c>
      <c r="B143" s="188" t="s">
        <v>786</v>
      </c>
      <c r="C143" s="345"/>
      <c r="D143" s="188"/>
      <c r="E143" s="188"/>
      <c r="F143" s="188"/>
      <c r="G143" s="188"/>
      <c r="H143" s="188"/>
      <c r="I143" s="188"/>
      <c r="J143" s="188"/>
      <c r="K143" s="188"/>
      <c r="L143" s="188"/>
      <c r="M143" s="188"/>
      <c r="N143" s="188"/>
      <c r="O143" s="188"/>
      <c r="P143" s="188"/>
      <c r="Q143" s="188"/>
      <c r="R143" s="188"/>
      <c r="S143" s="188"/>
      <c r="T143" s="188"/>
      <c r="U143" s="188"/>
    </row>
    <row r="144" spans="1:21">
      <c r="A144" s="424" t="s">
        <v>9</v>
      </c>
      <c r="B144" s="188" t="s">
        <v>1190</v>
      </c>
      <c r="C144" s="345"/>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46" t="s">
        <v>11</v>
      </c>
      <c r="B145" s="347" t="s">
        <v>796</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46"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46" t="s">
        <v>15</v>
      </c>
      <c r="B147" s="425">
        <f>B152</f>
        <v>3.9E-2</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46"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46" t="s">
        <v>18</v>
      </c>
      <c r="B149" s="188" t="s">
        <v>609</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43"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44" t="s">
        <v>20</v>
      </c>
      <c r="B151" s="344" t="s">
        <v>21</v>
      </c>
      <c r="C151" s="344" t="s">
        <v>18</v>
      </c>
      <c r="D151" s="344" t="s">
        <v>22</v>
      </c>
      <c r="E151" s="344" t="s">
        <v>7</v>
      </c>
      <c r="F151" s="344" t="s">
        <v>13</v>
      </c>
      <c r="G151" s="344" t="s">
        <v>16</v>
      </c>
      <c r="H151" s="344" t="s">
        <v>23</v>
      </c>
      <c r="I151" s="344" t="s">
        <v>24</v>
      </c>
      <c r="J151" s="344" t="s">
        <v>25</v>
      </c>
      <c r="K151" s="344" t="s">
        <v>26</v>
      </c>
      <c r="L151" s="344" t="s">
        <v>27</v>
      </c>
      <c r="M151" s="344" t="s">
        <v>28</v>
      </c>
      <c r="N151" s="344" t="s">
        <v>11</v>
      </c>
      <c r="O151" s="188"/>
      <c r="P151" s="188"/>
      <c r="Q151" s="188"/>
      <c r="R151" s="188"/>
      <c r="S151" s="188"/>
      <c r="T151" s="188"/>
      <c r="U151" s="188"/>
    </row>
    <row r="152" spans="1:21">
      <c r="A152" s="192" t="s">
        <v>1189</v>
      </c>
      <c r="B152" s="495">
        <f>P152</f>
        <v>3.9E-2</v>
      </c>
      <c r="C152" s="188" t="s">
        <v>609</v>
      </c>
      <c r="D152" s="408" t="s">
        <v>2</v>
      </c>
      <c r="E152" s="188" t="s">
        <v>29</v>
      </c>
      <c r="F152" s="37" t="s">
        <v>14</v>
      </c>
      <c r="G152" s="188" t="s">
        <v>30</v>
      </c>
      <c r="H152" s="188">
        <v>1</v>
      </c>
      <c r="I152" s="415">
        <f>B152</f>
        <v>3.9E-2</v>
      </c>
      <c r="J152" s="188" t="s">
        <v>31</v>
      </c>
      <c r="K152" s="188" t="s">
        <v>31</v>
      </c>
      <c r="L152" s="188" t="s">
        <v>31</v>
      </c>
      <c r="M152" s="188" t="s">
        <v>31</v>
      </c>
      <c r="N152" s="188"/>
      <c r="O152" s="471" t="s">
        <v>610</v>
      </c>
      <c r="P152" s="495">
        <v>3.9E-2</v>
      </c>
      <c r="Q152" s="188"/>
      <c r="R152" s="188"/>
      <c r="S152" s="188"/>
      <c r="T152" s="188"/>
      <c r="U152" s="188"/>
    </row>
    <row r="153" spans="1:21">
      <c r="A153" s="188" t="s">
        <v>1191</v>
      </c>
      <c r="B153" s="495">
        <f>P153</f>
        <v>1.2E-2</v>
      </c>
      <c r="C153" s="188" t="s">
        <v>609</v>
      </c>
      <c r="D153" s="408" t="s">
        <v>2</v>
      </c>
      <c r="E153" s="188" t="s">
        <v>29</v>
      </c>
      <c r="F153" s="37" t="s">
        <v>14</v>
      </c>
      <c r="G153" s="188" t="s">
        <v>33</v>
      </c>
      <c r="H153" s="188">
        <v>1</v>
      </c>
      <c r="I153" s="415">
        <f>B153</f>
        <v>1.2E-2</v>
      </c>
      <c r="J153" s="188" t="s">
        <v>31</v>
      </c>
      <c r="K153" s="188" t="s">
        <v>31</v>
      </c>
      <c r="L153" s="188" t="s">
        <v>31</v>
      </c>
      <c r="M153" s="188" t="s">
        <v>31</v>
      </c>
      <c r="N153" s="188"/>
      <c r="O153" s="471" t="s">
        <v>823</v>
      </c>
      <c r="P153" s="496">
        <v>1.2E-2</v>
      </c>
      <c r="Q153" s="188"/>
      <c r="R153" s="188"/>
      <c r="S153" s="188"/>
      <c r="T153" s="188"/>
      <c r="U153" s="188"/>
    </row>
    <row r="154" spans="1:21">
      <c r="A154" s="188" t="s">
        <v>1192</v>
      </c>
      <c r="B154" s="495">
        <f>P154</f>
        <v>3.9E-2</v>
      </c>
      <c r="C154" s="188" t="s">
        <v>609</v>
      </c>
      <c r="D154" s="408" t="s">
        <v>2</v>
      </c>
      <c r="E154" s="188" t="s">
        <v>29</v>
      </c>
      <c r="F154" s="37" t="s">
        <v>14</v>
      </c>
      <c r="G154" s="188" t="s">
        <v>33</v>
      </c>
      <c r="H154" s="188">
        <v>1</v>
      </c>
      <c r="I154" s="415">
        <f>B154</f>
        <v>3.9E-2</v>
      </c>
      <c r="J154" s="188" t="s">
        <v>31</v>
      </c>
      <c r="K154" s="188" t="s">
        <v>31</v>
      </c>
      <c r="L154" s="188" t="s">
        <v>31</v>
      </c>
      <c r="M154" s="188" t="s">
        <v>31</v>
      </c>
      <c r="N154" s="188"/>
      <c r="O154" s="400" t="s">
        <v>823</v>
      </c>
      <c r="P154" s="497">
        <v>3.9E-2</v>
      </c>
      <c r="Q154" s="188"/>
      <c r="R154" s="188"/>
      <c r="S154" s="188"/>
      <c r="T154" s="188"/>
      <c r="U154" s="188"/>
    </row>
    <row r="155" spans="1:21">
      <c r="A155" s="346" t="s">
        <v>269</v>
      </c>
      <c r="B155" s="445">
        <f t="shared" ref="B155:B156" si="7">P155</f>
        <v>0.94</v>
      </c>
      <c r="C155" s="188" t="s">
        <v>39</v>
      </c>
      <c r="D155" s="188" t="s">
        <v>40</v>
      </c>
      <c r="E155" s="188" t="s">
        <v>29</v>
      </c>
      <c r="F155" s="37" t="s">
        <v>35</v>
      </c>
      <c r="G155" s="188" t="s">
        <v>33</v>
      </c>
      <c r="H155" s="188">
        <v>2</v>
      </c>
      <c r="I155" s="188">
        <f t="shared" ref="I155:I156" si="8">LN(B155)</f>
        <v>-6.1875403718087529E-2</v>
      </c>
      <c r="J155" s="188">
        <v>9.7082439194738052E-2</v>
      </c>
      <c r="K155" s="188" t="s">
        <v>31</v>
      </c>
      <c r="L155" s="188" t="s">
        <v>31</v>
      </c>
      <c r="M155" s="188" t="s">
        <v>31</v>
      </c>
      <c r="N155" s="188"/>
      <c r="O155" s="401" t="s">
        <v>248</v>
      </c>
      <c r="P155" s="138">
        <v>0.94</v>
      </c>
      <c r="Q155" s="188" t="s">
        <v>248</v>
      </c>
      <c r="R155" s="350">
        <f>P155</f>
        <v>0.94</v>
      </c>
      <c r="S155" s="188"/>
      <c r="T155" s="188"/>
      <c r="U155" s="188"/>
    </row>
    <row r="156" spans="1:21">
      <c r="A156" s="346" t="s">
        <v>202</v>
      </c>
      <c r="B156" s="445">
        <f t="shared" si="7"/>
        <v>2.5</v>
      </c>
      <c r="C156" s="188" t="s">
        <v>37</v>
      </c>
      <c r="D156" s="188" t="s">
        <v>40</v>
      </c>
      <c r="E156" s="188" t="s">
        <v>29</v>
      </c>
      <c r="F156" s="37" t="s">
        <v>35</v>
      </c>
      <c r="G156" s="188" t="s">
        <v>33</v>
      </c>
      <c r="H156" s="188">
        <v>2</v>
      </c>
      <c r="I156" s="188">
        <f t="shared" si="8"/>
        <v>0.91629073187415511</v>
      </c>
      <c r="J156" s="188">
        <v>9.7082439194738052E-2</v>
      </c>
      <c r="K156" s="188" t="s">
        <v>31</v>
      </c>
      <c r="L156" s="188" t="s">
        <v>31</v>
      </c>
      <c r="M156" s="188" t="s">
        <v>31</v>
      </c>
      <c r="N156" s="188"/>
      <c r="O156" s="401" t="s">
        <v>241</v>
      </c>
      <c r="P156" s="138">
        <v>2.5</v>
      </c>
      <c r="Q156" s="188"/>
      <c r="R156" s="188"/>
      <c r="S156" s="188"/>
      <c r="T156" s="188"/>
      <c r="U156" s="188"/>
    </row>
    <row r="157" spans="1:21" s="70" customFormat="1">
      <c r="A157" s="370" t="s">
        <v>5</v>
      </c>
      <c r="B157" s="371" t="s">
        <v>1192</v>
      </c>
      <c r="C157" s="372"/>
      <c r="D157" s="353"/>
      <c r="E157" s="353"/>
      <c r="F157" s="353"/>
      <c r="G157" s="353"/>
      <c r="H157" s="353"/>
      <c r="I157" s="353"/>
      <c r="J157" s="353"/>
      <c r="K157" s="353"/>
      <c r="L157" s="353"/>
      <c r="M157" s="353"/>
      <c r="N157" s="353"/>
      <c r="O157" s="353"/>
      <c r="P157" s="353"/>
      <c r="Q157" s="353"/>
      <c r="R157" s="353"/>
      <c r="S157" s="353"/>
      <c r="T157" s="353"/>
      <c r="U157" s="353"/>
    </row>
    <row r="158" spans="1:21">
      <c r="A158" s="346" t="s">
        <v>7</v>
      </c>
      <c r="B158" s="188" t="s">
        <v>786</v>
      </c>
      <c r="C158" s="345"/>
      <c r="D158" s="188"/>
      <c r="E158" s="188"/>
      <c r="F158" s="188"/>
      <c r="G158" s="188"/>
      <c r="H158" s="188"/>
      <c r="I158" s="188"/>
      <c r="J158" s="188"/>
      <c r="K158" s="188"/>
      <c r="L158" s="188"/>
      <c r="M158" s="188"/>
      <c r="N158" s="188"/>
      <c r="O158" s="188"/>
      <c r="P158" s="188"/>
      <c r="Q158" s="188"/>
      <c r="R158" s="188"/>
      <c r="S158" s="188"/>
      <c r="T158" s="188"/>
      <c r="U158" s="188"/>
    </row>
    <row r="159" spans="1:21">
      <c r="A159" s="424" t="s">
        <v>9</v>
      </c>
      <c r="B159" s="188" t="s">
        <v>1193</v>
      </c>
      <c r="C159" s="345"/>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46" t="s">
        <v>11</v>
      </c>
      <c r="B160" s="347" t="s">
        <v>796</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46"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46" t="s">
        <v>15</v>
      </c>
      <c r="B162" s="160">
        <f>B167</f>
        <v>3.9E-2</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46"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46" t="s">
        <v>18</v>
      </c>
      <c r="B164" s="188" t="s">
        <v>609</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43"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44" t="s">
        <v>20</v>
      </c>
      <c r="B166" s="344" t="s">
        <v>21</v>
      </c>
      <c r="C166" s="344" t="s">
        <v>18</v>
      </c>
      <c r="D166" s="344" t="s">
        <v>22</v>
      </c>
      <c r="E166" s="344" t="s">
        <v>7</v>
      </c>
      <c r="F166" s="344" t="s">
        <v>13</v>
      </c>
      <c r="G166" s="344" t="s">
        <v>16</v>
      </c>
      <c r="H166" s="344" t="s">
        <v>23</v>
      </c>
      <c r="I166" s="344" t="s">
        <v>24</v>
      </c>
      <c r="J166" s="344" t="s">
        <v>25</v>
      </c>
      <c r="K166" s="344" t="s">
        <v>26</v>
      </c>
      <c r="L166" s="344" t="s">
        <v>27</v>
      </c>
      <c r="M166" s="344" t="s">
        <v>28</v>
      </c>
      <c r="N166" s="344" t="s">
        <v>11</v>
      </c>
      <c r="O166" s="188"/>
      <c r="P166" s="188"/>
      <c r="Q166" s="188"/>
      <c r="R166" s="188"/>
      <c r="S166" s="188"/>
      <c r="T166" s="188"/>
      <c r="U166" s="188"/>
    </row>
    <row r="167" spans="1:21">
      <c r="A167" s="188" t="s">
        <v>1192</v>
      </c>
      <c r="B167" s="415">
        <f>P167</f>
        <v>3.9E-2</v>
      </c>
      <c r="C167" s="188" t="s">
        <v>609</v>
      </c>
      <c r="D167" s="408" t="s">
        <v>2</v>
      </c>
      <c r="E167" s="188" t="s">
        <v>29</v>
      </c>
      <c r="F167" s="37" t="s">
        <v>14</v>
      </c>
      <c r="G167" s="188" t="s">
        <v>30</v>
      </c>
      <c r="H167" s="188">
        <v>1</v>
      </c>
      <c r="I167" s="415">
        <f>B167</f>
        <v>3.9E-2</v>
      </c>
      <c r="J167" s="188" t="s">
        <v>31</v>
      </c>
      <c r="K167" s="188" t="s">
        <v>31</v>
      </c>
      <c r="L167" s="188" t="s">
        <v>31</v>
      </c>
      <c r="M167" s="188" t="s">
        <v>31</v>
      </c>
      <c r="N167" s="188"/>
      <c r="O167" s="188"/>
      <c r="P167" s="160">
        <v>3.9E-2</v>
      </c>
      <c r="Q167" s="188"/>
      <c r="R167" s="188"/>
      <c r="S167" s="188"/>
      <c r="T167" s="188"/>
      <c r="U167" s="188"/>
    </row>
    <row r="168" spans="1:21">
      <c r="A168" s="192" t="s">
        <v>1194</v>
      </c>
      <c r="B168" s="415">
        <f>P168</f>
        <v>3.9E-2</v>
      </c>
      <c r="C168" s="188" t="s">
        <v>609</v>
      </c>
      <c r="D168" s="408" t="s">
        <v>2</v>
      </c>
      <c r="E168" s="188" t="s">
        <v>29</v>
      </c>
      <c r="F168" s="37" t="s">
        <v>14</v>
      </c>
      <c r="G168" s="188" t="s">
        <v>33</v>
      </c>
      <c r="H168" s="188">
        <v>1</v>
      </c>
      <c r="I168" s="415">
        <f>B168</f>
        <v>3.9E-2</v>
      </c>
      <c r="J168" s="188" t="s">
        <v>31</v>
      </c>
      <c r="K168" s="188" t="s">
        <v>31</v>
      </c>
      <c r="L168" s="188" t="s">
        <v>31</v>
      </c>
      <c r="M168" s="188" t="s">
        <v>31</v>
      </c>
      <c r="N168" s="188"/>
      <c r="O168" s="188"/>
      <c r="P168" s="160">
        <v>3.9E-2</v>
      </c>
      <c r="Q168" s="188"/>
      <c r="R168" s="188"/>
      <c r="S168" s="188"/>
      <c r="T168" s="188"/>
      <c r="U168" s="188"/>
    </row>
    <row r="169" spans="1:21">
      <c r="A169" s="346" t="s">
        <v>269</v>
      </c>
      <c r="B169" s="350">
        <f>R169</f>
        <v>0.11</v>
      </c>
      <c r="C169" s="188" t="s">
        <v>39</v>
      </c>
      <c r="D169" s="188" t="s">
        <v>40</v>
      </c>
      <c r="E169" s="188" t="s">
        <v>29</v>
      </c>
      <c r="F169" s="37" t="s">
        <v>35</v>
      </c>
      <c r="G169" s="188" t="s">
        <v>33</v>
      </c>
      <c r="H169" s="188">
        <v>2</v>
      </c>
      <c r="I169" s="188">
        <f t="shared" ref="I169:I173" si="9">LN(B169)</f>
        <v>-2.2072749131897207</v>
      </c>
      <c r="J169" s="188">
        <v>0.20928449536456342</v>
      </c>
      <c r="K169" s="188" t="s">
        <v>31</v>
      </c>
      <c r="L169" s="188" t="s">
        <v>31</v>
      </c>
      <c r="M169" s="188" t="s">
        <v>31</v>
      </c>
      <c r="N169" s="188"/>
      <c r="O169" s="383" t="s">
        <v>248</v>
      </c>
      <c r="P169" s="414">
        <v>0.11</v>
      </c>
      <c r="Q169" s="188" t="s">
        <v>248</v>
      </c>
      <c r="R169" s="350">
        <f>P169</f>
        <v>0.11</v>
      </c>
      <c r="S169" s="188"/>
      <c r="T169" s="188"/>
      <c r="U169" s="188"/>
    </row>
    <row r="170" spans="1:21">
      <c r="A170" s="88" t="s">
        <v>798</v>
      </c>
      <c r="B170" s="188">
        <f>R170</f>
        <v>3.3E-3</v>
      </c>
      <c r="C170" s="188" t="s">
        <v>37</v>
      </c>
      <c r="D170" s="188" t="s">
        <v>40</v>
      </c>
      <c r="E170" s="188" t="s">
        <v>29</v>
      </c>
      <c r="F170" s="37" t="s">
        <v>35</v>
      </c>
      <c r="G170" s="188" t="s">
        <v>33</v>
      </c>
      <c r="H170" s="188">
        <v>2</v>
      </c>
      <c r="I170" s="188">
        <f t="shared" si="9"/>
        <v>-5.7138328105097029</v>
      </c>
      <c r="J170" s="188">
        <v>0.20928449536456342</v>
      </c>
      <c r="K170" s="188" t="s">
        <v>31</v>
      </c>
      <c r="L170" s="188" t="s">
        <v>31</v>
      </c>
      <c r="M170" s="188" t="s">
        <v>31</v>
      </c>
      <c r="N170" s="188"/>
      <c r="O170" s="401" t="s">
        <v>580</v>
      </c>
      <c r="P170" s="414">
        <v>3.3</v>
      </c>
      <c r="Q170" s="188" t="s">
        <v>241</v>
      </c>
      <c r="R170" s="188">
        <f>0.001*P170</f>
        <v>3.3E-3</v>
      </c>
      <c r="S170" s="188"/>
      <c r="T170" s="188"/>
      <c r="U170" s="188"/>
    </row>
    <row r="171" spans="1:21">
      <c r="A171" s="88" t="s">
        <v>308</v>
      </c>
      <c r="B171" s="188">
        <f>R171</f>
        <v>5.0000000000000001E-4</v>
      </c>
      <c r="C171" s="188" t="s">
        <v>37</v>
      </c>
      <c r="D171" s="188" t="s">
        <v>40</v>
      </c>
      <c r="E171" s="188" t="s">
        <v>29</v>
      </c>
      <c r="F171" s="37" t="s">
        <v>59</v>
      </c>
      <c r="G171" s="188" t="s">
        <v>33</v>
      </c>
      <c r="H171" s="188">
        <v>2</v>
      </c>
      <c r="I171" s="188">
        <f t="shared" si="9"/>
        <v>-7.6009024595420822</v>
      </c>
      <c r="J171" s="188">
        <v>0.20928449536456342</v>
      </c>
      <c r="K171" s="188" t="s">
        <v>31</v>
      </c>
      <c r="L171" s="188" t="s">
        <v>31</v>
      </c>
      <c r="M171" s="188" t="s">
        <v>31</v>
      </c>
      <c r="N171" s="188"/>
      <c r="O171" s="401" t="s">
        <v>580</v>
      </c>
      <c r="P171" s="414">
        <v>0.5</v>
      </c>
      <c r="Q171" s="188" t="s">
        <v>241</v>
      </c>
      <c r="R171" s="188">
        <f t="shared" ref="R171:R173" si="10">0.001*P171</f>
        <v>5.0000000000000001E-4</v>
      </c>
      <c r="S171" s="188"/>
      <c r="T171" s="188"/>
      <c r="U171" s="188"/>
    </row>
    <row r="172" spans="1:21">
      <c r="A172" s="346" t="s">
        <v>799</v>
      </c>
      <c r="B172" s="188">
        <f>R172</f>
        <v>1.6300000000000002E-2</v>
      </c>
      <c r="C172" s="188" t="s">
        <v>37</v>
      </c>
      <c r="D172" s="188" t="s">
        <v>40</v>
      </c>
      <c r="E172" s="188" t="s">
        <v>29</v>
      </c>
      <c r="F172" s="37" t="s">
        <v>74</v>
      </c>
      <c r="G172" s="188" t="s">
        <v>33</v>
      </c>
      <c r="H172" s="188">
        <v>2</v>
      </c>
      <c r="I172" s="188">
        <f t="shared" si="9"/>
        <v>-4.1165901711694204</v>
      </c>
      <c r="J172" s="188">
        <v>0.20928449536456342</v>
      </c>
      <c r="K172" s="188" t="s">
        <v>31</v>
      </c>
      <c r="L172" s="188" t="s">
        <v>31</v>
      </c>
      <c r="M172" s="188" t="s">
        <v>31</v>
      </c>
      <c r="N172" s="188"/>
      <c r="O172" s="401" t="s">
        <v>580</v>
      </c>
      <c r="P172" s="414">
        <v>16.3</v>
      </c>
      <c r="Q172" s="188" t="s">
        <v>241</v>
      </c>
      <c r="R172" s="188">
        <f t="shared" si="10"/>
        <v>1.6300000000000002E-2</v>
      </c>
      <c r="S172" s="188"/>
      <c r="T172" s="188"/>
      <c r="U172" s="188"/>
    </row>
    <row r="173" spans="1:21">
      <c r="A173" s="188" t="s">
        <v>784</v>
      </c>
      <c r="B173" s="188">
        <f>R173</f>
        <v>3.8E-3</v>
      </c>
      <c r="C173" s="188" t="s">
        <v>37</v>
      </c>
      <c r="D173" s="408" t="s">
        <v>2</v>
      </c>
      <c r="E173" s="188" t="s">
        <v>29</v>
      </c>
      <c r="F173" s="37" t="s">
        <v>74</v>
      </c>
      <c r="G173" s="188" t="s">
        <v>33</v>
      </c>
      <c r="H173" s="188">
        <v>2</v>
      </c>
      <c r="I173" s="188">
        <f t="shared" si="9"/>
        <v>-5.5727542122497971</v>
      </c>
      <c r="J173" s="188">
        <v>0.20928449536456342</v>
      </c>
      <c r="K173" s="188" t="s">
        <v>31</v>
      </c>
      <c r="L173" s="188" t="s">
        <v>31</v>
      </c>
      <c r="M173" s="188" t="s">
        <v>31</v>
      </c>
      <c r="N173" s="188"/>
      <c r="O173" s="447" t="s">
        <v>580</v>
      </c>
      <c r="P173" s="419">
        <v>3.8</v>
      </c>
      <c r="Q173" s="188" t="s">
        <v>241</v>
      </c>
      <c r="R173" s="188">
        <f t="shared" si="10"/>
        <v>3.8E-3</v>
      </c>
      <c r="S173" s="188"/>
      <c r="T173" s="188"/>
      <c r="U173" s="188"/>
    </row>
    <row r="174" spans="1:21" s="70" customFormat="1">
      <c r="A174" s="370" t="s">
        <v>5</v>
      </c>
      <c r="B174" s="371" t="s">
        <v>1194</v>
      </c>
      <c r="C174" s="372"/>
      <c r="D174" s="353"/>
      <c r="E174" s="353"/>
      <c r="F174" s="353"/>
      <c r="G174" s="353"/>
      <c r="H174" s="353"/>
      <c r="I174" s="353"/>
      <c r="J174" s="353"/>
      <c r="K174" s="353"/>
      <c r="L174" s="353"/>
      <c r="M174" s="353"/>
      <c r="N174" s="353"/>
      <c r="O174" s="353"/>
      <c r="P174" s="353"/>
      <c r="Q174" s="353"/>
      <c r="R174" s="353"/>
      <c r="S174" s="353"/>
      <c r="T174" s="353"/>
      <c r="U174" s="353"/>
    </row>
    <row r="175" spans="1:21">
      <c r="A175" s="346" t="s">
        <v>7</v>
      </c>
      <c r="B175" s="188" t="s">
        <v>786</v>
      </c>
      <c r="C175" s="345"/>
      <c r="D175" s="188"/>
      <c r="E175" s="188"/>
      <c r="F175" s="188"/>
      <c r="G175" s="188"/>
      <c r="H175" s="188"/>
      <c r="I175" s="188"/>
      <c r="J175" s="188"/>
      <c r="K175" s="188"/>
      <c r="L175" s="188"/>
      <c r="M175" s="188"/>
      <c r="N175" s="188"/>
      <c r="O175" s="188"/>
      <c r="P175" s="188"/>
      <c r="Q175" s="188"/>
      <c r="R175" s="188"/>
      <c r="S175" s="188"/>
      <c r="T175" s="188"/>
      <c r="U175" s="188"/>
    </row>
    <row r="176" spans="1:21">
      <c r="A176" s="424" t="s">
        <v>9</v>
      </c>
      <c r="B176" s="188" t="s">
        <v>1195</v>
      </c>
      <c r="C176" s="345"/>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46" t="s">
        <v>11</v>
      </c>
      <c r="B177" s="347" t="s">
        <v>796</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46"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46" t="s">
        <v>15</v>
      </c>
      <c r="B179" s="425">
        <f>B184</f>
        <v>3.9E-2</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46"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46" t="s">
        <v>18</v>
      </c>
      <c r="B181" s="188" t="s">
        <v>609</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43"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44" t="s">
        <v>20</v>
      </c>
      <c r="B183" s="344" t="s">
        <v>21</v>
      </c>
      <c r="C183" s="344" t="s">
        <v>18</v>
      </c>
      <c r="D183" s="344" t="s">
        <v>22</v>
      </c>
      <c r="E183" s="344" t="s">
        <v>7</v>
      </c>
      <c r="F183" s="344" t="s">
        <v>13</v>
      </c>
      <c r="G183" s="344" t="s">
        <v>16</v>
      </c>
      <c r="H183" s="344" t="s">
        <v>23</v>
      </c>
      <c r="I183" s="344" t="s">
        <v>24</v>
      </c>
      <c r="J183" s="344" t="s">
        <v>25</v>
      </c>
      <c r="K183" s="344" t="s">
        <v>26</v>
      </c>
      <c r="L183" s="344" t="s">
        <v>27</v>
      </c>
      <c r="M183" s="344" t="s">
        <v>28</v>
      </c>
      <c r="N183" s="344" t="s">
        <v>11</v>
      </c>
      <c r="O183" s="188"/>
      <c r="P183" s="188"/>
      <c r="Q183" s="188"/>
      <c r="R183" s="188"/>
      <c r="S183" s="188"/>
      <c r="T183" s="188"/>
      <c r="U183" s="188"/>
    </row>
    <row r="184" spans="1:21">
      <c r="A184" s="192" t="s">
        <v>1194</v>
      </c>
      <c r="B184" s="415">
        <f>P184</f>
        <v>3.9E-2</v>
      </c>
      <c r="C184" s="188" t="s">
        <v>609</v>
      </c>
      <c r="D184" s="408" t="s">
        <v>2</v>
      </c>
      <c r="E184" s="188" t="s">
        <v>29</v>
      </c>
      <c r="F184" s="37" t="s">
        <v>14</v>
      </c>
      <c r="G184" s="188" t="s">
        <v>30</v>
      </c>
      <c r="H184" s="188">
        <v>1</v>
      </c>
      <c r="I184" s="415">
        <f>B184</f>
        <v>3.9E-2</v>
      </c>
      <c r="J184" s="188" t="s">
        <v>31</v>
      </c>
      <c r="K184" s="188" t="s">
        <v>31</v>
      </c>
      <c r="L184" s="188" t="s">
        <v>31</v>
      </c>
      <c r="M184" s="188" t="s">
        <v>31</v>
      </c>
      <c r="N184" s="188"/>
      <c r="O184" s="188"/>
      <c r="P184" s="160">
        <v>3.9E-2</v>
      </c>
      <c r="Q184" s="188"/>
      <c r="R184" s="188"/>
      <c r="S184" s="188"/>
      <c r="T184" s="188"/>
      <c r="U184" s="188"/>
    </row>
    <row r="185" spans="1:21">
      <c r="A185" s="188" t="s">
        <v>1196</v>
      </c>
      <c r="B185" s="415">
        <f>P185</f>
        <v>3.9E-2</v>
      </c>
      <c r="C185" s="188" t="s">
        <v>609</v>
      </c>
      <c r="D185" s="408" t="s">
        <v>2</v>
      </c>
      <c r="E185" s="188" t="s">
        <v>29</v>
      </c>
      <c r="F185" s="37" t="s">
        <v>14</v>
      </c>
      <c r="G185" s="188" t="s">
        <v>33</v>
      </c>
      <c r="H185" s="188">
        <v>1</v>
      </c>
      <c r="I185" s="415">
        <f>B185</f>
        <v>3.9E-2</v>
      </c>
      <c r="J185" s="188" t="s">
        <v>31</v>
      </c>
      <c r="K185" s="188" t="s">
        <v>31</v>
      </c>
      <c r="L185" s="188" t="s">
        <v>31</v>
      </c>
      <c r="M185" s="188" t="s">
        <v>31</v>
      </c>
      <c r="N185" s="188"/>
      <c r="O185" s="188"/>
      <c r="P185" s="160">
        <v>3.9E-2</v>
      </c>
      <c r="Q185" s="188"/>
      <c r="R185" s="188"/>
      <c r="S185" s="188"/>
      <c r="T185" s="188"/>
      <c r="U185" s="188"/>
    </row>
    <row r="186" spans="1:21">
      <c r="A186" s="346" t="s">
        <v>269</v>
      </c>
      <c r="B186" s="350">
        <f>P186</f>
        <v>2.29</v>
      </c>
      <c r="C186" s="188" t="s">
        <v>39</v>
      </c>
      <c r="D186" s="188" t="s">
        <v>40</v>
      </c>
      <c r="E186" s="188" t="s">
        <v>29</v>
      </c>
      <c r="F186" s="37" t="s">
        <v>35</v>
      </c>
      <c r="G186" s="188" t="s">
        <v>33</v>
      </c>
      <c r="H186" s="188">
        <v>2</v>
      </c>
      <c r="I186" s="188">
        <f t="shared" ref="I186:I187" si="11">LN(B186)</f>
        <v>0.82855181756614826</v>
      </c>
      <c r="J186" s="188">
        <v>0.20928449536456342</v>
      </c>
      <c r="K186" s="188" t="s">
        <v>31</v>
      </c>
      <c r="L186" s="188" t="s">
        <v>31</v>
      </c>
      <c r="M186" s="188" t="s">
        <v>31</v>
      </c>
      <c r="N186" s="188"/>
      <c r="O186" s="401" t="s">
        <v>248</v>
      </c>
      <c r="P186" s="414">
        <f>1.58+0.71</f>
        <v>2.29</v>
      </c>
      <c r="Q186" s="188"/>
      <c r="R186" s="188"/>
      <c r="S186" s="188"/>
      <c r="T186" s="188"/>
      <c r="U186" s="188"/>
    </row>
    <row r="187" spans="1:21">
      <c r="A187" s="346" t="s">
        <v>799</v>
      </c>
      <c r="B187" s="188">
        <f>R187</f>
        <v>4.5999999999999999E-3</v>
      </c>
      <c r="C187" s="188" t="s">
        <v>37</v>
      </c>
      <c r="D187" s="188" t="s">
        <v>40</v>
      </c>
      <c r="E187" s="188" t="s">
        <v>29</v>
      </c>
      <c r="F187" s="37" t="s">
        <v>74</v>
      </c>
      <c r="G187" s="188" t="s">
        <v>33</v>
      </c>
      <c r="H187" s="188">
        <v>2</v>
      </c>
      <c r="I187" s="188">
        <f t="shared" si="11"/>
        <v>-5.3816989754870876</v>
      </c>
      <c r="J187" s="188">
        <v>0.20928449536456342</v>
      </c>
      <c r="K187" s="188" t="s">
        <v>31</v>
      </c>
      <c r="L187" s="188" t="s">
        <v>31</v>
      </c>
      <c r="M187" s="188" t="s">
        <v>31</v>
      </c>
      <c r="N187" s="188"/>
      <c r="O187" s="401" t="s">
        <v>580</v>
      </c>
      <c r="P187" s="138">
        <v>4.5999999999999996</v>
      </c>
      <c r="Q187" s="188" t="s">
        <v>241</v>
      </c>
      <c r="R187" s="188">
        <f>P187*0.001</f>
        <v>4.5999999999999999E-3</v>
      </c>
      <c r="S187" s="188"/>
      <c r="T187" s="188"/>
      <c r="U187" s="188"/>
    </row>
    <row r="188" spans="1:21">
      <c r="A188" s="88" t="s">
        <v>545</v>
      </c>
      <c r="B188" s="188">
        <f>R188</f>
        <v>5.5999999999999999E-3</v>
      </c>
      <c r="C188" s="188" t="s">
        <v>37</v>
      </c>
      <c r="D188" s="188" t="s">
        <v>40</v>
      </c>
      <c r="E188" s="188" t="s">
        <v>29</v>
      </c>
      <c r="F188" s="188" t="s">
        <v>35</v>
      </c>
      <c r="G188" s="188" t="s">
        <v>33</v>
      </c>
      <c r="H188" s="188">
        <v>2</v>
      </c>
      <c r="I188" s="188">
        <f>LN(B188)</f>
        <v>-5.1849886812410331</v>
      </c>
      <c r="J188" s="188">
        <v>0.20928449536456342</v>
      </c>
      <c r="K188" s="188" t="s">
        <v>31</v>
      </c>
      <c r="L188" s="188" t="s">
        <v>31</v>
      </c>
      <c r="M188" s="188" t="s">
        <v>31</v>
      </c>
      <c r="N188" s="188"/>
      <c r="O188" s="401" t="s">
        <v>580</v>
      </c>
      <c r="P188" s="138">
        <v>5.6</v>
      </c>
      <c r="Q188" s="188" t="s">
        <v>241</v>
      </c>
      <c r="R188" s="188">
        <f>P188*0.001</f>
        <v>5.5999999999999999E-3</v>
      </c>
      <c r="S188" s="188"/>
      <c r="T188" s="188"/>
      <c r="U188" s="188"/>
    </row>
    <row r="189" spans="1:21">
      <c r="A189" s="188" t="s">
        <v>784</v>
      </c>
      <c r="B189" s="188">
        <f>R189</f>
        <v>5.5999999999999999E-3</v>
      </c>
      <c r="C189" s="188" t="s">
        <v>37</v>
      </c>
      <c r="D189" s="408" t="s">
        <v>2</v>
      </c>
      <c r="E189" s="188" t="s">
        <v>29</v>
      </c>
      <c r="F189" s="37" t="s">
        <v>74</v>
      </c>
      <c r="G189" s="188" t="s">
        <v>33</v>
      </c>
      <c r="H189" s="188">
        <v>2</v>
      </c>
      <c r="I189" s="188">
        <f t="shared" ref="I189" si="12">LN(B189)</f>
        <v>-5.1849886812410331</v>
      </c>
      <c r="J189" s="188">
        <v>0.20928449536456342</v>
      </c>
      <c r="K189" s="188" t="s">
        <v>31</v>
      </c>
      <c r="L189" s="188" t="s">
        <v>31</v>
      </c>
      <c r="M189" s="188" t="s">
        <v>31</v>
      </c>
      <c r="N189" s="188"/>
      <c r="O189" s="447" t="s">
        <v>580</v>
      </c>
      <c r="P189" s="142">
        <v>5.6</v>
      </c>
      <c r="Q189" s="188" t="s">
        <v>241</v>
      </c>
      <c r="R189" s="188">
        <f t="shared" ref="R189" si="13">0.001*P189</f>
        <v>5.5999999999999999E-3</v>
      </c>
      <c r="S189" s="188"/>
      <c r="T189" s="188"/>
      <c r="U189" s="188"/>
    </row>
    <row r="190" spans="1:21" s="70" customFormat="1">
      <c r="A190" s="370" t="s">
        <v>5</v>
      </c>
      <c r="B190" s="371" t="s">
        <v>1196</v>
      </c>
      <c r="C190" s="372"/>
      <c r="D190" s="353"/>
      <c r="E190" s="353"/>
      <c r="F190" s="353"/>
      <c r="G190" s="353"/>
      <c r="H190" s="353"/>
      <c r="I190" s="353"/>
      <c r="J190" s="353"/>
      <c r="K190" s="353"/>
      <c r="L190" s="353"/>
      <c r="M190" s="353"/>
      <c r="N190" s="353"/>
      <c r="O190" s="353"/>
      <c r="P190" s="353"/>
      <c r="Q190" s="353"/>
      <c r="R190" s="353"/>
      <c r="S190" s="353"/>
      <c r="T190" s="353"/>
      <c r="U190" s="353"/>
    </row>
    <row r="191" spans="1:21">
      <c r="A191" s="346" t="s">
        <v>7</v>
      </c>
      <c r="B191" s="188" t="s">
        <v>786</v>
      </c>
      <c r="C191" s="345"/>
      <c r="D191" s="188"/>
      <c r="E191" s="188"/>
      <c r="F191" s="188"/>
      <c r="G191" s="188"/>
      <c r="H191" s="188"/>
      <c r="I191" s="188"/>
      <c r="J191" s="188"/>
      <c r="K191" s="188"/>
      <c r="L191" s="188"/>
      <c r="M191" s="188"/>
      <c r="N191" s="188"/>
      <c r="O191" s="188"/>
      <c r="P191" s="188"/>
      <c r="Q191" s="188"/>
      <c r="R191" s="188"/>
      <c r="S191" s="188"/>
      <c r="T191" s="188"/>
      <c r="U191" s="188"/>
    </row>
    <row r="192" spans="1:21">
      <c r="A192" s="424" t="s">
        <v>9</v>
      </c>
      <c r="B192" s="188" t="s">
        <v>1197</v>
      </c>
      <c r="C192" s="345"/>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46" t="s">
        <v>11</v>
      </c>
      <c r="B193" s="347" t="s">
        <v>796</v>
      </c>
      <c r="C193" s="188"/>
      <c r="D193" s="188"/>
      <c r="E193" s="188"/>
      <c r="F193" s="188"/>
      <c r="G193" s="188"/>
      <c r="H193" s="188"/>
      <c r="I193" s="188"/>
      <c r="J193" s="188"/>
      <c r="K193" s="188"/>
      <c r="L193" s="188"/>
      <c r="M193" s="188"/>
      <c r="N193" s="188"/>
      <c r="O193" s="188"/>
      <c r="P193" s="188"/>
      <c r="Q193" s="188"/>
      <c r="R193" s="188"/>
      <c r="S193" s="188"/>
      <c r="T193" s="188"/>
      <c r="U193" s="188"/>
    </row>
    <row r="194" spans="1:21">
      <c r="A194" s="346" t="s">
        <v>13</v>
      </c>
      <c r="B194" s="188" t="s">
        <v>14</v>
      </c>
      <c r="C194" s="188"/>
      <c r="D194" s="188"/>
      <c r="E194" s="188"/>
      <c r="F194" s="188"/>
      <c r="G194" s="188"/>
      <c r="H194" s="188"/>
      <c r="I194" s="188"/>
      <c r="J194" s="188"/>
      <c r="K194" s="188"/>
      <c r="L194" s="188"/>
      <c r="M194" s="188"/>
      <c r="N194" s="188"/>
      <c r="O194" s="188"/>
      <c r="P194" s="188"/>
      <c r="Q194" s="344" t="s">
        <v>885</v>
      </c>
      <c r="R194" s="188"/>
      <c r="S194" s="188"/>
      <c r="T194" s="188"/>
      <c r="U194" s="188"/>
    </row>
    <row r="195" spans="1:21">
      <c r="A195" s="346" t="s">
        <v>15</v>
      </c>
      <c r="B195" s="425">
        <f>B200</f>
        <v>0.52</v>
      </c>
      <c r="C195" s="188"/>
      <c r="D195" s="188"/>
      <c r="E195" s="188"/>
      <c r="F195" s="188"/>
      <c r="G195" s="188"/>
      <c r="H195" s="188"/>
      <c r="I195" s="188"/>
      <c r="J195" s="188"/>
      <c r="K195" s="188"/>
      <c r="L195" s="188"/>
      <c r="M195" s="188"/>
      <c r="N195" s="188"/>
      <c r="O195" s="188"/>
      <c r="P195" s="188"/>
      <c r="Q195" s="188" t="s">
        <v>886</v>
      </c>
      <c r="R195" s="188">
        <v>8900</v>
      </c>
      <c r="S195" s="188" t="s">
        <v>887</v>
      </c>
      <c r="T195" s="188"/>
      <c r="U195" s="188"/>
    </row>
    <row r="196" spans="1:21">
      <c r="A196" s="346" t="s">
        <v>16</v>
      </c>
      <c r="B196" s="188" t="s">
        <v>17</v>
      </c>
      <c r="C196" s="188"/>
      <c r="D196" s="188"/>
      <c r="E196" s="188"/>
      <c r="F196" s="188"/>
      <c r="G196" s="188"/>
      <c r="H196" s="188"/>
      <c r="I196" s="188"/>
      <c r="J196" s="188"/>
      <c r="K196" s="188"/>
      <c r="L196" s="188"/>
      <c r="M196" s="188"/>
      <c r="N196" s="188"/>
      <c r="O196" s="188"/>
      <c r="P196" s="188"/>
      <c r="Q196" s="188" t="s">
        <v>888</v>
      </c>
      <c r="R196" s="188">
        <f>5*10^-6</f>
        <v>4.9999999999999996E-6</v>
      </c>
      <c r="S196" s="188" t="s">
        <v>889</v>
      </c>
      <c r="T196" s="188"/>
      <c r="U196" s="188"/>
    </row>
    <row r="197" spans="1:21">
      <c r="A197" s="346" t="s">
        <v>18</v>
      </c>
      <c r="B197" s="188" t="s">
        <v>609</v>
      </c>
      <c r="C197" s="188"/>
      <c r="D197" s="188"/>
      <c r="E197" s="188"/>
      <c r="F197" s="188"/>
      <c r="G197" s="188"/>
      <c r="H197" s="188"/>
      <c r="I197" s="188"/>
      <c r="J197" s="188"/>
      <c r="K197" s="188"/>
      <c r="L197" s="188"/>
      <c r="M197" s="188"/>
      <c r="N197" s="188"/>
      <c r="O197" s="188"/>
      <c r="P197" s="188"/>
      <c r="Q197" s="427" t="s">
        <v>890</v>
      </c>
      <c r="R197" s="428">
        <f>R196*R195</f>
        <v>4.4499999999999998E-2</v>
      </c>
      <c r="S197" s="429" t="s">
        <v>891</v>
      </c>
      <c r="T197" s="188"/>
      <c r="U197" s="188"/>
    </row>
    <row r="198" spans="1:21">
      <c r="A198" s="343" t="s">
        <v>19</v>
      </c>
      <c r="B198" s="188"/>
      <c r="C198" s="188"/>
      <c r="D198" s="188"/>
      <c r="E198" s="188"/>
      <c r="F198" s="188"/>
      <c r="G198" s="188"/>
      <c r="H198" s="188"/>
      <c r="I198" s="188"/>
      <c r="J198" s="188"/>
      <c r="K198" s="188"/>
      <c r="L198" s="188"/>
      <c r="M198" s="188"/>
      <c r="N198" s="188"/>
      <c r="O198" s="188"/>
      <c r="P198" s="188"/>
      <c r="Q198" s="188"/>
      <c r="R198" s="188"/>
      <c r="S198" s="188"/>
      <c r="T198" s="188"/>
      <c r="U198" s="188"/>
    </row>
    <row r="199" spans="1:21">
      <c r="A199" s="344" t="s">
        <v>20</v>
      </c>
      <c r="B199" s="344" t="s">
        <v>21</v>
      </c>
      <c r="C199" s="344" t="s">
        <v>18</v>
      </c>
      <c r="D199" s="344" t="s">
        <v>22</v>
      </c>
      <c r="E199" s="344" t="s">
        <v>7</v>
      </c>
      <c r="F199" s="344" t="s">
        <v>13</v>
      </c>
      <c r="G199" s="344" t="s">
        <v>16</v>
      </c>
      <c r="H199" s="344" t="s">
        <v>23</v>
      </c>
      <c r="I199" s="344" t="s">
        <v>24</v>
      </c>
      <c r="J199" s="344" t="s">
        <v>25</v>
      </c>
      <c r="K199" s="344" t="s">
        <v>26</v>
      </c>
      <c r="L199" s="344" t="s">
        <v>27</v>
      </c>
      <c r="M199" s="344" t="s">
        <v>28</v>
      </c>
      <c r="N199" s="344" t="s">
        <v>11</v>
      </c>
      <c r="O199" s="188"/>
      <c r="P199" s="188"/>
      <c r="Q199" s="188" t="s">
        <v>554</v>
      </c>
      <c r="R199" s="188"/>
      <c r="S199" s="188"/>
      <c r="T199" s="410"/>
      <c r="U199" s="188"/>
    </row>
    <row r="200" spans="1:21">
      <c r="A200" s="188" t="s">
        <v>1196</v>
      </c>
      <c r="B200" s="498">
        <v>0.52</v>
      </c>
      <c r="C200" s="188" t="s">
        <v>609</v>
      </c>
      <c r="D200" s="408" t="s">
        <v>2</v>
      </c>
      <c r="E200" s="188" t="s">
        <v>29</v>
      </c>
      <c r="F200" s="188" t="s">
        <v>14</v>
      </c>
      <c r="G200" s="188" t="s">
        <v>30</v>
      </c>
      <c r="H200" s="188">
        <v>1</v>
      </c>
      <c r="I200" s="415">
        <f>B200</f>
        <v>0.52</v>
      </c>
      <c r="J200" s="188" t="s">
        <v>31</v>
      </c>
      <c r="K200" s="188" t="s">
        <v>31</v>
      </c>
      <c r="L200" s="188" t="s">
        <v>31</v>
      </c>
      <c r="M200" s="188" t="s">
        <v>31</v>
      </c>
      <c r="N200" s="188"/>
      <c r="O200" s="192"/>
      <c r="P200" s="421"/>
      <c r="Q200" s="430">
        <v>0.57999999999999996</v>
      </c>
      <c r="R200" s="431" t="s">
        <v>610</v>
      </c>
      <c r="S200" s="430">
        <f>Q200*R197</f>
        <v>2.5809999999999996E-2</v>
      </c>
      <c r="T200" s="431" t="s">
        <v>241</v>
      </c>
      <c r="U200" s="188"/>
    </row>
    <row r="201" spans="1:21">
      <c r="A201" s="188" t="s">
        <v>1198</v>
      </c>
      <c r="B201" s="498">
        <v>0.52</v>
      </c>
      <c r="C201" s="188" t="s">
        <v>609</v>
      </c>
      <c r="D201" s="408" t="s">
        <v>2</v>
      </c>
      <c r="E201" s="188" t="s">
        <v>29</v>
      </c>
      <c r="F201" s="188" t="s">
        <v>14</v>
      </c>
      <c r="G201" s="188" t="s">
        <v>33</v>
      </c>
      <c r="H201" s="188">
        <v>1</v>
      </c>
      <c r="I201" s="415">
        <f>B201</f>
        <v>0.52</v>
      </c>
      <c r="J201" s="188">
        <v>7.2284161474004766E-2</v>
      </c>
      <c r="K201" s="188" t="s">
        <v>31</v>
      </c>
      <c r="L201" s="188" t="s">
        <v>31</v>
      </c>
      <c r="M201" s="188" t="s">
        <v>31</v>
      </c>
      <c r="N201" s="188"/>
      <c r="O201" s="192"/>
      <c r="P201" s="421"/>
      <c r="Q201" s="188"/>
      <c r="R201" s="188"/>
      <c r="S201" s="188"/>
      <c r="T201" s="188"/>
      <c r="U201" s="188"/>
    </row>
    <row r="202" spans="1:21">
      <c r="A202" s="192" t="s">
        <v>1153</v>
      </c>
      <c r="B202" s="420">
        <f>S200</f>
        <v>2.5809999999999996E-2</v>
      </c>
      <c r="C202" s="188" t="s">
        <v>37</v>
      </c>
      <c r="D202" s="408" t="s">
        <v>2</v>
      </c>
      <c r="E202" s="188" t="s">
        <v>29</v>
      </c>
      <c r="F202" s="37" t="s">
        <v>14</v>
      </c>
      <c r="G202" s="188" t="s">
        <v>33</v>
      </c>
      <c r="H202" s="188">
        <v>1</v>
      </c>
      <c r="I202" s="415">
        <f>B202</f>
        <v>2.5809999999999996E-2</v>
      </c>
      <c r="J202" s="188">
        <v>7.2284161474004766E-2</v>
      </c>
      <c r="K202" s="188" t="s">
        <v>31</v>
      </c>
      <c r="L202" s="188" t="s">
        <v>31</v>
      </c>
      <c r="M202" s="188" t="s">
        <v>31</v>
      </c>
      <c r="N202" s="188"/>
      <c r="O202" s="192"/>
      <c r="P202" s="421"/>
      <c r="Q202" s="188"/>
      <c r="R202" s="188"/>
      <c r="S202" s="188"/>
      <c r="T202" s="188"/>
      <c r="U202" s="188"/>
    </row>
    <row r="203" spans="1:21">
      <c r="A203" s="346" t="s">
        <v>799</v>
      </c>
      <c r="B203" s="188">
        <f>P203</f>
        <v>4.7</v>
      </c>
      <c r="C203" s="188" t="s">
        <v>37</v>
      </c>
      <c r="D203" s="188" t="s">
        <v>40</v>
      </c>
      <c r="E203" s="188" t="s">
        <v>29</v>
      </c>
      <c r="F203" s="37" t="s">
        <v>74</v>
      </c>
      <c r="G203" s="188" t="s">
        <v>33</v>
      </c>
      <c r="H203" s="188">
        <v>2</v>
      </c>
      <c r="I203" s="188">
        <f t="shared" ref="I203" si="14">LN(B203)</f>
        <v>1.547562508716013</v>
      </c>
      <c r="J203" s="188">
        <v>7.2284161474004766E-2</v>
      </c>
      <c r="K203" s="188" t="s">
        <v>31</v>
      </c>
      <c r="L203" s="188" t="s">
        <v>31</v>
      </c>
      <c r="M203" s="188" t="s">
        <v>31</v>
      </c>
      <c r="N203" s="188"/>
      <c r="O203" s="477" t="s">
        <v>241</v>
      </c>
      <c r="P203" s="138">
        <v>4.7</v>
      </c>
      <c r="Q203" s="188"/>
      <c r="R203" s="188"/>
      <c r="S203" s="188"/>
      <c r="T203" s="188"/>
      <c r="U203" s="188"/>
    </row>
    <row r="204" spans="1:21">
      <c r="A204" s="88" t="s">
        <v>874</v>
      </c>
      <c r="B204" s="451">
        <f>R204</f>
        <v>1.9999999999999999E-7</v>
      </c>
      <c r="C204" s="188" t="s">
        <v>37</v>
      </c>
      <c r="D204" s="188" t="s">
        <v>40</v>
      </c>
      <c r="E204" s="188" t="s">
        <v>29</v>
      </c>
      <c r="F204" s="37" t="s">
        <v>59</v>
      </c>
      <c r="G204" s="188" t="s">
        <v>33</v>
      </c>
      <c r="H204" s="188">
        <v>2</v>
      </c>
      <c r="I204" s="188">
        <f>LN(B204)</f>
        <v>-15.424948470398375</v>
      </c>
      <c r="J204" s="188">
        <v>7.2284161474004766E-2</v>
      </c>
      <c r="K204" s="188" t="s">
        <v>31</v>
      </c>
      <c r="L204" s="188" t="s">
        <v>31</v>
      </c>
      <c r="M204" s="188" t="s">
        <v>31</v>
      </c>
      <c r="N204" s="188"/>
      <c r="O204" s="416" t="s">
        <v>538</v>
      </c>
      <c r="P204" s="141">
        <v>0.2</v>
      </c>
      <c r="Q204" s="188" t="s">
        <v>241</v>
      </c>
      <c r="R204" s="188">
        <f>0.000001*P204</f>
        <v>1.9999999999999999E-7</v>
      </c>
      <c r="S204" s="188"/>
      <c r="T204" s="188"/>
      <c r="U204" s="188"/>
    </row>
    <row r="205" spans="1:21">
      <c r="A205" s="88" t="s">
        <v>76</v>
      </c>
      <c r="B205" s="451">
        <f>R205</f>
        <v>4.7000000000000002E-3</v>
      </c>
      <c r="C205" s="188" t="s">
        <v>42</v>
      </c>
      <c r="D205" s="188" t="s">
        <v>40</v>
      </c>
      <c r="E205" s="188" t="s">
        <v>29</v>
      </c>
      <c r="F205" s="37" t="s">
        <v>74</v>
      </c>
      <c r="G205" s="188" t="s">
        <v>33</v>
      </c>
      <c r="H205" s="188">
        <v>2</v>
      </c>
      <c r="I205" s="188">
        <f t="shared" ref="I205" si="15">LN(B205)</f>
        <v>-5.3601927702661243</v>
      </c>
      <c r="J205" s="188">
        <v>7.2284161474004766E-2</v>
      </c>
      <c r="K205" s="188" t="s">
        <v>31</v>
      </c>
      <c r="L205" s="188" t="s">
        <v>31</v>
      </c>
      <c r="M205" s="188" t="s">
        <v>31</v>
      </c>
      <c r="N205" s="188"/>
      <c r="O205" s="418" t="s">
        <v>863</v>
      </c>
      <c r="P205" s="142">
        <v>4.7</v>
      </c>
      <c r="Q205" s="188" t="s">
        <v>251</v>
      </c>
      <c r="R205" s="188">
        <f>0.001*P205</f>
        <v>4.7000000000000002E-3</v>
      </c>
      <c r="S205" s="188"/>
      <c r="T205" s="188"/>
      <c r="U205" s="188"/>
    </row>
    <row r="206" spans="1:21" s="70" customFormat="1">
      <c r="A206" s="370" t="s">
        <v>5</v>
      </c>
      <c r="B206" s="371" t="s">
        <v>1198</v>
      </c>
      <c r="C206" s="372"/>
      <c r="D206" s="353"/>
      <c r="E206" s="353"/>
      <c r="F206" s="353"/>
      <c r="G206" s="353"/>
      <c r="H206" s="353"/>
      <c r="I206" s="353"/>
      <c r="J206" s="353"/>
      <c r="K206" s="353"/>
      <c r="L206" s="353"/>
      <c r="M206" s="353"/>
      <c r="N206" s="353"/>
      <c r="O206" s="353"/>
      <c r="P206" s="353"/>
      <c r="Q206" s="353"/>
      <c r="R206" s="353"/>
      <c r="S206" s="353"/>
      <c r="T206" s="353"/>
      <c r="U206" s="353"/>
    </row>
    <row r="207" spans="1:21">
      <c r="A207" s="346" t="s">
        <v>7</v>
      </c>
      <c r="B207" s="188" t="s">
        <v>786</v>
      </c>
      <c r="C207" s="345"/>
      <c r="D207" s="188"/>
      <c r="E207" s="188"/>
      <c r="F207" s="188"/>
      <c r="G207" s="188"/>
      <c r="H207" s="188"/>
      <c r="I207" s="188"/>
      <c r="J207" s="188"/>
      <c r="K207" s="188"/>
      <c r="L207" s="188"/>
      <c r="M207" s="188"/>
      <c r="N207" s="188"/>
      <c r="O207" s="188"/>
      <c r="P207" s="188"/>
      <c r="Q207" s="188"/>
      <c r="R207" s="188"/>
      <c r="S207" s="188"/>
      <c r="T207" s="188"/>
      <c r="U207" s="188"/>
    </row>
    <row r="208" spans="1:21">
      <c r="A208" s="424" t="s">
        <v>9</v>
      </c>
      <c r="B208" s="188" t="s">
        <v>1199</v>
      </c>
      <c r="C208" s="345"/>
      <c r="D208" s="188"/>
      <c r="E208" s="188"/>
      <c r="F208" s="188"/>
      <c r="G208" s="188"/>
      <c r="H208" s="188"/>
      <c r="I208" s="188"/>
      <c r="J208" s="188"/>
      <c r="K208" s="188"/>
      <c r="L208" s="188"/>
      <c r="M208" s="188"/>
      <c r="N208" s="188"/>
      <c r="O208" s="188"/>
      <c r="P208" s="188"/>
      <c r="Q208" s="188"/>
      <c r="R208" s="188"/>
      <c r="S208" s="188"/>
      <c r="T208" s="188"/>
      <c r="U208" s="188"/>
    </row>
    <row r="209" spans="1:21" ht="15.75" customHeight="1">
      <c r="A209" s="346" t="s">
        <v>11</v>
      </c>
      <c r="B209" s="347" t="s">
        <v>796</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46" t="s">
        <v>13</v>
      </c>
      <c r="B210" s="188" t="s">
        <v>14</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46" t="s">
        <v>15</v>
      </c>
      <c r="B211" s="425">
        <f>B216</f>
        <v>0.52</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46" t="s">
        <v>16</v>
      </c>
      <c r="B212" s="188" t="s">
        <v>17</v>
      </c>
      <c r="C212" s="188"/>
      <c r="D212" s="188"/>
      <c r="E212" s="188"/>
      <c r="F212" s="188"/>
      <c r="G212" s="188"/>
      <c r="H212" s="188"/>
      <c r="I212" s="188"/>
      <c r="J212" s="188"/>
      <c r="K212" s="188"/>
      <c r="L212" s="188"/>
      <c r="M212" s="188"/>
      <c r="N212" s="188"/>
      <c r="O212" s="188"/>
      <c r="P212" s="188"/>
      <c r="Q212" s="188"/>
      <c r="R212" s="188"/>
      <c r="S212" s="188"/>
      <c r="T212" s="188"/>
      <c r="U212" s="188"/>
    </row>
    <row r="213" spans="1:21">
      <c r="A213" s="346" t="s">
        <v>18</v>
      </c>
      <c r="B213" s="188" t="s">
        <v>609</v>
      </c>
      <c r="C213" s="188"/>
      <c r="D213" s="188"/>
      <c r="E213" s="188"/>
      <c r="F213" s="188"/>
      <c r="G213" s="188"/>
      <c r="H213" s="188"/>
      <c r="I213" s="188"/>
      <c r="J213" s="188"/>
      <c r="K213" s="188"/>
      <c r="L213" s="188"/>
      <c r="M213" s="188"/>
      <c r="N213" s="188"/>
      <c r="O213" s="188"/>
      <c r="P213" s="188"/>
      <c r="Q213" s="188"/>
      <c r="R213" s="188"/>
      <c r="S213" s="415"/>
      <c r="T213" s="188"/>
      <c r="U213" s="188"/>
    </row>
    <row r="214" spans="1:21">
      <c r="A214" s="343" t="s">
        <v>19</v>
      </c>
      <c r="B214" s="188"/>
      <c r="C214" s="188"/>
      <c r="D214" s="188"/>
      <c r="E214" s="188"/>
      <c r="F214" s="188"/>
      <c r="G214" s="188"/>
      <c r="H214" s="188"/>
      <c r="I214" s="188"/>
      <c r="J214" s="188"/>
      <c r="K214" s="188"/>
      <c r="L214" s="188"/>
      <c r="M214" s="188"/>
      <c r="N214" s="188"/>
      <c r="O214" s="188"/>
      <c r="P214" s="188"/>
      <c r="Q214" s="188"/>
      <c r="R214" s="188"/>
      <c r="S214" s="188"/>
      <c r="T214" s="188"/>
      <c r="U214" s="188"/>
    </row>
    <row r="215" spans="1:21">
      <c r="A215" s="344" t="s">
        <v>20</v>
      </c>
      <c r="B215" s="344" t="s">
        <v>21</v>
      </c>
      <c r="C215" s="344" t="s">
        <v>18</v>
      </c>
      <c r="D215" s="344" t="s">
        <v>22</v>
      </c>
      <c r="E215" s="344" t="s">
        <v>7</v>
      </c>
      <c r="F215" s="344" t="s">
        <v>13</v>
      </c>
      <c r="G215" s="344" t="s">
        <v>16</v>
      </c>
      <c r="H215" s="344" t="s">
        <v>23</v>
      </c>
      <c r="I215" s="344" t="s">
        <v>24</v>
      </c>
      <c r="J215" s="344" t="s">
        <v>25</v>
      </c>
      <c r="K215" s="344" t="s">
        <v>26</v>
      </c>
      <c r="L215" s="344" t="s">
        <v>27</v>
      </c>
      <c r="M215" s="344" t="s">
        <v>28</v>
      </c>
      <c r="N215" s="344" t="s">
        <v>11</v>
      </c>
      <c r="O215" s="188"/>
      <c r="P215" s="188"/>
      <c r="Q215" s="188"/>
      <c r="R215" s="188"/>
      <c r="S215" s="188"/>
      <c r="T215" s="188"/>
      <c r="U215" s="188"/>
    </row>
    <row r="216" spans="1:21">
      <c r="A216" s="188" t="s">
        <v>1198</v>
      </c>
      <c r="B216" s="415">
        <f>P216</f>
        <v>0.52</v>
      </c>
      <c r="C216" s="188" t="s">
        <v>609</v>
      </c>
      <c r="D216" s="408" t="s">
        <v>2</v>
      </c>
      <c r="E216" s="188" t="s">
        <v>29</v>
      </c>
      <c r="F216" s="188" t="s">
        <v>14</v>
      </c>
      <c r="G216" s="188" t="s">
        <v>30</v>
      </c>
      <c r="H216" s="188">
        <v>1</v>
      </c>
      <c r="I216" s="415">
        <f>B216</f>
        <v>0.52</v>
      </c>
      <c r="J216" s="188" t="s">
        <v>31</v>
      </c>
      <c r="K216" s="188" t="s">
        <v>31</v>
      </c>
      <c r="L216" s="188" t="s">
        <v>31</v>
      </c>
      <c r="M216" s="188" t="s">
        <v>31</v>
      </c>
      <c r="N216" s="188"/>
      <c r="O216" s="401" t="s">
        <v>610</v>
      </c>
      <c r="P216" s="455">
        <v>0.52</v>
      </c>
      <c r="Q216" s="188"/>
      <c r="R216" s="188"/>
      <c r="S216" s="188"/>
      <c r="T216" s="188"/>
      <c r="U216" s="188"/>
    </row>
    <row r="217" spans="1:21">
      <c r="A217" s="188" t="s">
        <v>1156</v>
      </c>
      <c r="B217" s="415">
        <f>'[3]Same processes'!B46</f>
        <v>0.25</v>
      </c>
      <c r="C217" s="188" t="s">
        <v>37</v>
      </c>
      <c r="D217" s="408" t="s">
        <v>2</v>
      </c>
      <c r="E217" s="188" t="s">
        <v>29</v>
      </c>
      <c r="F217" s="188" t="s">
        <v>14</v>
      </c>
      <c r="G217" s="188" t="s">
        <v>33</v>
      </c>
      <c r="H217" s="188">
        <v>1</v>
      </c>
      <c r="I217" s="415">
        <f>B217</f>
        <v>0.25</v>
      </c>
      <c r="J217" s="188" t="s">
        <v>31</v>
      </c>
      <c r="K217" s="188" t="s">
        <v>31</v>
      </c>
      <c r="L217" s="188" t="s">
        <v>31</v>
      </c>
      <c r="M217" s="188" t="s">
        <v>31</v>
      </c>
      <c r="N217" s="188"/>
      <c r="O217" s="432"/>
      <c r="P217" s="455">
        <v>0.52</v>
      </c>
      <c r="Q217" s="188" t="s">
        <v>1043</v>
      </c>
      <c r="R217" s="188"/>
      <c r="S217" s="188"/>
      <c r="T217" s="188"/>
      <c r="U217" s="188"/>
    </row>
    <row r="218" spans="1:21">
      <c r="A218" s="346" t="s">
        <v>269</v>
      </c>
      <c r="B218" s="350">
        <f>P218</f>
        <v>0.27</v>
      </c>
      <c r="C218" s="188" t="s">
        <v>39</v>
      </c>
      <c r="D218" s="188" t="s">
        <v>40</v>
      </c>
      <c r="E218" s="188" t="s">
        <v>29</v>
      </c>
      <c r="F218" s="37" t="s">
        <v>35</v>
      </c>
      <c r="G218" s="188" t="s">
        <v>33</v>
      </c>
      <c r="H218" s="188">
        <v>2</v>
      </c>
      <c r="I218" s="188">
        <f t="shared" ref="I218:I219" si="16">LN(B218)</f>
        <v>-1.3093333199837622</v>
      </c>
      <c r="J218" s="188">
        <v>7.2284161474004766E-2</v>
      </c>
      <c r="K218" s="188" t="s">
        <v>31</v>
      </c>
      <c r="L218" s="188" t="s">
        <v>31</v>
      </c>
      <c r="M218" s="188" t="s">
        <v>31</v>
      </c>
      <c r="N218" s="188"/>
      <c r="O218" s="401" t="s">
        <v>248</v>
      </c>
      <c r="P218" s="138">
        <v>0.27</v>
      </c>
      <c r="Q218" s="188"/>
      <c r="R218" s="188"/>
      <c r="S218" s="188"/>
      <c r="T218" s="188"/>
      <c r="U218" s="188"/>
    </row>
    <row r="219" spans="1:21">
      <c r="A219" s="88" t="s">
        <v>310</v>
      </c>
      <c r="B219" s="188">
        <f>R219</f>
        <v>6.0000000000000001E-3</v>
      </c>
      <c r="C219" s="415" t="s">
        <v>37</v>
      </c>
      <c r="D219" s="188" t="s">
        <v>40</v>
      </c>
      <c r="E219" s="188" t="s">
        <v>29</v>
      </c>
      <c r="F219" s="188" t="s">
        <v>59</v>
      </c>
      <c r="G219" s="188" t="s">
        <v>33</v>
      </c>
      <c r="H219" s="188">
        <v>2</v>
      </c>
      <c r="I219" s="188">
        <f t="shared" si="16"/>
        <v>-5.1159958097540823</v>
      </c>
      <c r="J219" s="188">
        <v>7.2284161474004766E-2</v>
      </c>
      <c r="K219" s="188" t="s">
        <v>31</v>
      </c>
      <c r="L219" s="188" t="s">
        <v>31</v>
      </c>
      <c r="M219" s="188" t="s">
        <v>31</v>
      </c>
      <c r="N219" s="188"/>
      <c r="O219" s="401" t="s">
        <v>580</v>
      </c>
      <c r="P219" s="138">
        <v>6</v>
      </c>
      <c r="Q219" s="188" t="s">
        <v>241</v>
      </c>
      <c r="R219" s="188">
        <f>P219*0.001</f>
        <v>6.0000000000000001E-3</v>
      </c>
      <c r="S219" s="188"/>
      <c r="T219" s="188"/>
      <c r="U219" s="188"/>
    </row>
    <row r="220" spans="1:21">
      <c r="A220" s="112" t="s">
        <v>871</v>
      </c>
      <c r="B220" s="188">
        <f t="shared" ref="B220:B221" si="17">R220</f>
        <v>1.0999999999999999E-2</v>
      </c>
      <c r="C220" s="188" t="s">
        <v>37</v>
      </c>
      <c r="D220" s="188" t="s">
        <v>40</v>
      </c>
      <c r="E220" s="188" t="s">
        <v>29</v>
      </c>
      <c r="F220" s="37" t="s">
        <v>35</v>
      </c>
      <c r="G220" s="188" t="s">
        <v>33</v>
      </c>
      <c r="H220" s="188">
        <v>2</v>
      </c>
      <c r="I220" s="188">
        <f>LN(B220)</f>
        <v>-4.5098600061837661</v>
      </c>
      <c r="J220" s="188">
        <v>7.2284161474004766E-2</v>
      </c>
      <c r="K220" s="188" t="s">
        <v>31</v>
      </c>
      <c r="L220" s="188" t="s">
        <v>31</v>
      </c>
      <c r="M220" s="188" t="s">
        <v>31</v>
      </c>
      <c r="N220" s="188"/>
      <c r="O220" s="401" t="s">
        <v>580</v>
      </c>
      <c r="P220" s="138">
        <v>11</v>
      </c>
      <c r="Q220" s="188" t="s">
        <v>241</v>
      </c>
      <c r="R220" s="188">
        <f>P220*0.001</f>
        <v>1.0999999999999999E-2</v>
      </c>
      <c r="S220" s="188"/>
      <c r="T220" s="188"/>
      <c r="U220" s="188"/>
    </row>
    <row r="221" spans="1:21">
      <c r="A221" s="346" t="s">
        <v>799</v>
      </c>
      <c r="B221" s="188">
        <f t="shared" si="17"/>
        <v>10.1</v>
      </c>
      <c r="C221" s="188" t="s">
        <v>37</v>
      </c>
      <c r="D221" s="188" t="s">
        <v>40</v>
      </c>
      <c r="E221" s="188" t="s">
        <v>29</v>
      </c>
      <c r="F221" s="37" t="s">
        <v>74</v>
      </c>
      <c r="G221" s="188" t="s">
        <v>33</v>
      </c>
      <c r="H221" s="188">
        <v>2</v>
      </c>
      <c r="I221" s="188">
        <f t="shared" ref="I221:I222" si="18">LN(B221)</f>
        <v>2.3125354238472138</v>
      </c>
      <c r="J221" s="188">
        <v>7.2284161474004766E-2</v>
      </c>
      <c r="K221" s="188" t="s">
        <v>31</v>
      </c>
      <c r="L221" s="188" t="s">
        <v>31</v>
      </c>
      <c r="M221" s="188" t="s">
        <v>31</v>
      </c>
      <c r="N221" s="188"/>
      <c r="O221" s="401" t="s">
        <v>241</v>
      </c>
      <c r="P221" s="138">
        <v>10.1</v>
      </c>
      <c r="Q221" s="188" t="s">
        <v>241</v>
      </c>
      <c r="R221" s="188">
        <f>P221</f>
        <v>10.1</v>
      </c>
      <c r="S221" s="188"/>
      <c r="T221" s="188"/>
      <c r="U221" s="188"/>
    </row>
    <row r="222" spans="1:21">
      <c r="A222" s="88" t="s">
        <v>76</v>
      </c>
      <c r="B222" s="188">
        <f>R222</f>
        <v>1.01E-2</v>
      </c>
      <c r="C222" s="188" t="s">
        <v>42</v>
      </c>
      <c r="D222" s="188" t="s">
        <v>40</v>
      </c>
      <c r="E222" s="188" t="s">
        <v>29</v>
      </c>
      <c r="F222" s="37" t="s">
        <v>74</v>
      </c>
      <c r="G222" s="188" t="s">
        <v>33</v>
      </c>
      <c r="H222" s="188">
        <v>2</v>
      </c>
      <c r="I222" s="188">
        <f t="shared" si="18"/>
        <v>-4.595219855134923</v>
      </c>
      <c r="J222" s="188">
        <v>7.2284161474004766E-2</v>
      </c>
      <c r="K222" s="188" t="s">
        <v>31</v>
      </c>
      <c r="L222" s="188" t="s">
        <v>31</v>
      </c>
      <c r="M222" s="188" t="s">
        <v>31</v>
      </c>
      <c r="N222" s="188"/>
      <c r="O222" s="418" t="s">
        <v>863</v>
      </c>
      <c r="P222" s="142">
        <v>10.1</v>
      </c>
      <c r="Q222" s="188" t="s">
        <v>251</v>
      </c>
      <c r="R222" s="188">
        <f>0.001*P222</f>
        <v>1.01E-2</v>
      </c>
      <c r="S222" s="188"/>
      <c r="T222" s="188"/>
      <c r="U222" s="188"/>
    </row>
    <row r="223" spans="1:21" s="70" customFormat="1">
      <c r="A223" s="370" t="s">
        <v>5</v>
      </c>
      <c r="B223" s="446" t="s">
        <v>1191</v>
      </c>
      <c r="C223" s="372"/>
      <c r="D223" s="353"/>
      <c r="E223" s="353"/>
      <c r="F223" s="353"/>
      <c r="G223" s="353"/>
      <c r="H223" s="353"/>
      <c r="I223" s="353"/>
      <c r="J223" s="353"/>
      <c r="K223" s="353"/>
      <c r="L223" s="353"/>
      <c r="M223" s="353"/>
      <c r="N223" s="353"/>
      <c r="O223" s="353"/>
      <c r="P223" s="188"/>
      <c r="Q223" s="353"/>
      <c r="R223" s="353"/>
      <c r="S223" s="353"/>
      <c r="T223" s="353"/>
      <c r="U223" s="353"/>
    </row>
    <row r="224" spans="1:21">
      <c r="A224" s="346" t="s">
        <v>7</v>
      </c>
      <c r="B224" s="188" t="s">
        <v>786</v>
      </c>
      <c r="C224" s="345"/>
      <c r="D224" s="188"/>
      <c r="E224" s="188"/>
      <c r="F224" s="188"/>
      <c r="G224" s="188"/>
      <c r="H224" s="188"/>
      <c r="I224" s="188"/>
      <c r="J224" s="188"/>
      <c r="K224" s="188"/>
      <c r="L224" s="188"/>
      <c r="M224" s="188"/>
      <c r="N224" s="188"/>
      <c r="O224" s="188"/>
      <c r="P224" s="188"/>
      <c r="Q224" s="188"/>
      <c r="R224" s="188"/>
      <c r="S224" s="188"/>
      <c r="T224" s="188"/>
      <c r="U224" s="188"/>
    </row>
    <row r="225" spans="1:21">
      <c r="A225" s="424" t="s">
        <v>9</v>
      </c>
      <c r="B225" s="188" t="s">
        <v>1200</v>
      </c>
      <c r="C225" s="345"/>
      <c r="D225" s="188"/>
      <c r="E225" s="188"/>
      <c r="F225" s="188"/>
      <c r="G225" s="188"/>
      <c r="H225" s="188"/>
      <c r="I225" s="188"/>
      <c r="J225" s="188"/>
      <c r="K225" s="188"/>
      <c r="L225" s="188"/>
      <c r="M225" s="188"/>
      <c r="N225" s="188"/>
      <c r="O225" s="188"/>
      <c r="P225" s="188"/>
      <c r="Q225" s="188"/>
      <c r="R225" s="188"/>
      <c r="S225" s="188"/>
      <c r="T225" s="188"/>
      <c r="U225" s="188"/>
    </row>
    <row r="226" spans="1:21" ht="15.75" customHeight="1">
      <c r="A226" s="346" t="s">
        <v>11</v>
      </c>
      <c r="B226" s="347" t="s">
        <v>796</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46" t="s">
        <v>13</v>
      </c>
      <c r="B227" s="188" t="s">
        <v>14</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46" t="s">
        <v>15</v>
      </c>
      <c r="B228" s="425">
        <f>B233</f>
        <v>1.2E-2</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46" t="s">
        <v>16</v>
      </c>
      <c r="B229" s="188" t="s">
        <v>17</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46" t="s">
        <v>18</v>
      </c>
      <c r="B230" s="188" t="s">
        <v>609</v>
      </c>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43" t="s">
        <v>19</v>
      </c>
      <c r="B231" s="188"/>
      <c r="C231" s="188"/>
      <c r="D231" s="188"/>
      <c r="E231" s="188"/>
      <c r="F231" s="188"/>
      <c r="G231" s="188"/>
      <c r="H231" s="188"/>
      <c r="I231" s="188"/>
      <c r="J231" s="188"/>
      <c r="K231" s="188"/>
      <c r="L231" s="188"/>
      <c r="M231" s="188"/>
      <c r="N231" s="188"/>
      <c r="O231" s="188"/>
      <c r="P231" s="188"/>
      <c r="Q231" s="188"/>
      <c r="R231" s="188"/>
      <c r="S231" s="188"/>
      <c r="T231" s="188"/>
      <c r="U231" s="188"/>
    </row>
    <row r="232" spans="1:21">
      <c r="A232" s="344" t="s">
        <v>20</v>
      </c>
      <c r="B232" s="344" t="s">
        <v>21</v>
      </c>
      <c r="C232" s="344" t="s">
        <v>18</v>
      </c>
      <c r="D232" s="344" t="s">
        <v>22</v>
      </c>
      <c r="E232" s="344" t="s">
        <v>7</v>
      </c>
      <c r="F232" s="344" t="s">
        <v>13</v>
      </c>
      <c r="G232" s="344" t="s">
        <v>16</v>
      </c>
      <c r="H232" s="344" t="s">
        <v>23</v>
      </c>
      <c r="I232" s="344" t="s">
        <v>24</v>
      </c>
      <c r="J232" s="344" t="s">
        <v>25</v>
      </c>
      <c r="K232" s="344" t="s">
        <v>26</v>
      </c>
      <c r="L232" s="344" t="s">
        <v>27</v>
      </c>
      <c r="M232" s="344" t="s">
        <v>28</v>
      </c>
      <c r="N232" s="344" t="s">
        <v>11</v>
      </c>
      <c r="O232" s="188"/>
      <c r="P232" s="188"/>
      <c r="Q232" s="188"/>
      <c r="R232" s="188"/>
      <c r="S232" s="188"/>
      <c r="T232" s="188"/>
      <c r="U232" s="188"/>
    </row>
    <row r="233" spans="1:21">
      <c r="A233" s="188" t="s">
        <v>1191</v>
      </c>
      <c r="B233" s="499">
        <f>B234</f>
        <v>1.2E-2</v>
      </c>
      <c r="C233" s="188" t="s">
        <v>609</v>
      </c>
      <c r="D233" s="408" t="s">
        <v>2</v>
      </c>
      <c r="E233" s="188" t="s">
        <v>29</v>
      </c>
      <c r="F233" s="37" t="s">
        <v>14</v>
      </c>
      <c r="G233" s="188" t="s">
        <v>30</v>
      </c>
      <c r="H233" s="188">
        <v>1</v>
      </c>
      <c r="I233" s="415">
        <f>B233</f>
        <v>1.2E-2</v>
      </c>
      <c r="J233" s="188" t="s">
        <v>31</v>
      </c>
      <c r="K233" s="188" t="s">
        <v>31</v>
      </c>
      <c r="L233" s="188" t="s">
        <v>31</v>
      </c>
      <c r="M233" s="188" t="s">
        <v>31</v>
      </c>
      <c r="N233" s="188"/>
      <c r="O233" s="471" t="s">
        <v>823</v>
      </c>
      <c r="P233" s="472"/>
      <c r="Q233" s="188"/>
      <c r="R233" s="188"/>
      <c r="S233" s="188"/>
      <c r="T233" s="188"/>
      <c r="U233" s="188"/>
    </row>
    <row r="234" spans="1:21">
      <c r="A234" s="188" t="s">
        <v>1201</v>
      </c>
      <c r="B234" s="415">
        <f>B254</f>
        <v>1.2E-2</v>
      </c>
      <c r="C234" s="188" t="s">
        <v>609</v>
      </c>
      <c r="D234" s="408" t="s">
        <v>2</v>
      </c>
      <c r="E234" s="188" t="s">
        <v>29</v>
      </c>
      <c r="F234" s="37" t="s">
        <v>14</v>
      </c>
      <c r="G234" s="188" t="s">
        <v>33</v>
      </c>
      <c r="H234" s="188">
        <v>1</v>
      </c>
      <c r="I234" s="415">
        <f>B234</f>
        <v>1.2E-2</v>
      </c>
      <c r="J234" s="188" t="s">
        <v>31</v>
      </c>
      <c r="K234" s="188" t="s">
        <v>31</v>
      </c>
      <c r="L234" s="188" t="s">
        <v>31</v>
      </c>
      <c r="M234" s="188" t="s">
        <v>31</v>
      </c>
      <c r="N234" s="188"/>
      <c r="O234" s="471" t="s">
        <v>823</v>
      </c>
      <c r="P234" s="472"/>
      <c r="Q234" s="188"/>
      <c r="R234" s="188"/>
      <c r="S234" s="188"/>
      <c r="T234" s="188"/>
      <c r="U234" s="188"/>
    </row>
    <row r="235" spans="1:21">
      <c r="A235" s="188" t="s">
        <v>1202</v>
      </c>
      <c r="B235" s="415">
        <f>B242</f>
        <v>2.0700000000000002E-3</v>
      </c>
      <c r="C235" s="188" t="s">
        <v>609</v>
      </c>
      <c r="D235" s="408" t="s">
        <v>2</v>
      </c>
      <c r="E235" s="188" t="s">
        <v>29</v>
      </c>
      <c r="F235" s="37" t="s">
        <v>14</v>
      </c>
      <c r="G235" s="188" t="s">
        <v>33</v>
      </c>
      <c r="H235" s="188">
        <v>1</v>
      </c>
      <c r="I235" s="415">
        <f>B235</f>
        <v>2.0700000000000002E-3</v>
      </c>
      <c r="J235" s="188" t="s">
        <v>31</v>
      </c>
      <c r="K235" s="188" t="s">
        <v>31</v>
      </c>
      <c r="L235" s="188" t="s">
        <v>31</v>
      </c>
      <c r="M235" s="188" t="s">
        <v>31</v>
      </c>
      <c r="N235" s="188"/>
      <c r="O235" s="400" t="s">
        <v>823</v>
      </c>
      <c r="P235" s="469"/>
      <c r="Q235" s="188"/>
      <c r="R235" s="188"/>
      <c r="S235" s="188"/>
      <c r="T235" s="188"/>
      <c r="U235" s="188"/>
    </row>
    <row r="236" spans="1:21">
      <c r="A236" s="346" t="s">
        <v>269</v>
      </c>
      <c r="B236" s="415">
        <f>P236</f>
        <v>0.28999999999999998</v>
      </c>
      <c r="C236" s="188" t="s">
        <v>39</v>
      </c>
      <c r="D236" s="188" t="s">
        <v>40</v>
      </c>
      <c r="E236" s="188" t="s">
        <v>29</v>
      </c>
      <c r="F236" s="37" t="s">
        <v>35</v>
      </c>
      <c r="G236" s="188" t="s">
        <v>33</v>
      </c>
      <c r="H236" s="188">
        <v>2</v>
      </c>
      <c r="I236" s="188">
        <f t="shared" ref="I236" si="19">LN(B236)</f>
        <v>-1.2378743560016174</v>
      </c>
      <c r="J236" s="188">
        <v>0.20928449536456342</v>
      </c>
      <c r="K236" s="188" t="s">
        <v>31</v>
      </c>
      <c r="L236" s="188" t="s">
        <v>31</v>
      </c>
      <c r="M236" s="188" t="s">
        <v>31</v>
      </c>
      <c r="N236" s="188"/>
      <c r="O236" s="401" t="s">
        <v>248</v>
      </c>
      <c r="P236" s="414">
        <v>0.28999999999999998</v>
      </c>
      <c r="Q236" s="188"/>
      <c r="R236" s="188"/>
      <c r="S236" s="188"/>
      <c r="T236" s="188"/>
      <c r="U236" s="188"/>
    </row>
    <row r="237" spans="1:21" s="70" customFormat="1">
      <c r="A237" s="370" t="s">
        <v>5</v>
      </c>
      <c r="B237" s="446" t="s">
        <v>1202</v>
      </c>
      <c r="C237" s="372"/>
      <c r="D237" s="353"/>
      <c r="E237" s="353"/>
      <c r="F237" s="353"/>
      <c r="G237" s="353"/>
      <c r="H237" s="353"/>
      <c r="I237" s="353"/>
      <c r="J237" s="353"/>
      <c r="K237" s="353"/>
      <c r="L237" s="353"/>
      <c r="M237" s="353"/>
      <c r="N237" s="353"/>
      <c r="O237" s="353"/>
      <c r="P237" s="353"/>
      <c r="Q237" s="353"/>
      <c r="R237" s="353"/>
      <c r="S237" s="353"/>
      <c r="T237" s="353"/>
      <c r="U237" s="353"/>
    </row>
    <row r="238" spans="1:21">
      <c r="A238" s="346" t="s">
        <v>7</v>
      </c>
      <c r="B238" s="188" t="s">
        <v>786</v>
      </c>
      <c r="C238" s="345"/>
      <c r="D238" s="188"/>
      <c r="E238" s="188"/>
      <c r="F238" s="188"/>
      <c r="G238" s="188"/>
      <c r="H238" s="188"/>
      <c r="I238" s="188"/>
      <c r="J238" s="188"/>
      <c r="K238" s="188"/>
      <c r="L238" s="188"/>
      <c r="M238" s="188"/>
      <c r="N238" s="188"/>
      <c r="O238" s="188"/>
      <c r="P238" s="188"/>
      <c r="Q238" s="188"/>
      <c r="R238" s="188"/>
      <c r="S238" s="188"/>
      <c r="T238" s="188"/>
      <c r="U238" s="188"/>
    </row>
    <row r="239" spans="1:21">
      <c r="A239" s="424" t="s">
        <v>9</v>
      </c>
      <c r="B239" s="188" t="s">
        <v>1203</v>
      </c>
      <c r="C239" s="345"/>
      <c r="D239" s="188"/>
      <c r="E239" s="188"/>
      <c r="F239" s="188"/>
      <c r="G239" s="188"/>
      <c r="H239" s="188"/>
      <c r="I239" s="188"/>
      <c r="J239" s="188"/>
      <c r="K239" s="188"/>
      <c r="L239" s="188"/>
      <c r="M239" s="188"/>
      <c r="N239" s="188"/>
      <c r="O239" s="188"/>
      <c r="P239" s="188"/>
      <c r="Q239" s="188"/>
      <c r="R239" s="188"/>
      <c r="S239" s="188"/>
      <c r="T239" s="188"/>
      <c r="U239" s="188"/>
    </row>
    <row r="240" spans="1:21" ht="15.75" customHeight="1">
      <c r="A240" s="346" t="s">
        <v>11</v>
      </c>
      <c r="B240" s="347" t="s">
        <v>796</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46" t="s">
        <v>13</v>
      </c>
      <c r="B241" s="188" t="s">
        <v>14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46" t="s">
        <v>15</v>
      </c>
      <c r="B242" s="415">
        <f>B247</f>
        <v>2.0700000000000002E-3</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46" t="s">
        <v>16</v>
      </c>
      <c r="B243" s="188" t="s">
        <v>17</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46" t="s">
        <v>18</v>
      </c>
      <c r="B244" s="188" t="s">
        <v>609</v>
      </c>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43" t="s">
        <v>19</v>
      </c>
      <c r="B245" s="188"/>
      <c r="C245" s="188"/>
      <c r="D245" s="188"/>
      <c r="E245" s="188"/>
      <c r="F245" s="188"/>
      <c r="G245" s="188"/>
      <c r="H245" s="188"/>
      <c r="I245" s="188"/>
      <c r="J245" s="188"/>
      <c r="K245" s="188"/>
      <c r="L245" s="188"/>
      <c r="M245" s="188"/>
      <c r="N245" s="188"/>
      <c r="O245" s="188"/>
      <c r="P245" s="188"/>
      <c r="Q245" s="188"/>
      <c r="R245" s="188"/>
      <c r="S245" s="188"/>
      <c r="T245" s="188"/>
      <c r="U245" s="188"/>
    </row>
    <row r="246" spans="1:21">
      <c r="A246" s="344" t="s">
        <v>20</v>
      </c>
      <c r="B246" s="344" t="s">
        <v>21</v>
      </c>
      <c r="C246" s="344" t="s">
        <v>18</v>
      </c>
      <c r="D246" s="344" t="s">
        <v>22</v>
      </c>
      <c r="E246" s="344" t="s">
        <v>7</v>
      </c>
      <c r="F246" s="344" t="s">
        <v>13</v>
      </c>
      <c r="G246" s="344" t="s">
        <v>16</v>
      </c>
      <c r="H246" s="344" t="s">
        <v>23</v>
      </c>
      <c r="I246" s="344" t="s">
        <v>24</v>
      </c>
      <c r="J246" s="344" t="s">
        <v>25</v>
      </c>
      <c r="K246" s="344" t="s">
        <v>26</v>
      </c>
      <c r="L246" s="344" t="s">
        <v>27</v>
      </c>
      <c r="M246" s="344" t="s">
        <v>28</v>
      </c>
      <c r="N246" s="344" t="s">
        <v>11</v>
      </c>
      <c r="O246" s="188"/>
      <c r="P246" s="188"/>
      <c r="Q246" s="188"/>
      <c r="R246" s="188"/>
      <c r="S246" s="188"/>
      <c r="T246" s="188"/>
      <c r="U246" s="188"/>
    </row>
    <row r="247" spans="1:21">
      <c r="A247" s="188" t="s">
        <v>1202</v>
      </c>
      <c r="B247" s="415">
        <f>S247</f>
        <v>2.0700000000000002E-3</v>
      </c>
      <c r="C247" s="188" t="s">
        <v>609</v>
      </c>
      <c r="D247" s="408" t="s">
        <v>2</v>
      </c>
      <c r="E247" s="188" t="s">
        <v>29</v>
      </c>
      <c r="F247" s="37" t="s">
        <v>14</v>
      </c>
      <c r="G247" s="188" t="s">
        <v>30</v>
      </c>
      <c r="H247" s="188">
        <v>1</v>
      </c>
      <c r="I247" s="415">
        <f>B247</f>
        <v>2.0700000000000002E-3</v>
      </c>
      <c r="J247" s="188" t="s">
        <v>31</v>
      </c>
      <c r="K247" s="188" t="s">
        <v>31</v>
      </c>
      <c r="L247" s="188" t="s">
        <v>31</v>
      </c>
      <c r="M247" s="188" t="s">
        <v>31</v>
      </c>
      <c r="N247" s="188"/>
      <c r="O247" s="188"/>
      <c r="P247" s="401" t="s">
        <v>1125</v>
      </c>
      <c r="Q247" s="414">
        <v>20.7</v>
      </c>
      <c r="R247" s="188" t="s">
        <v>610</v>
      </c>
      <c r="S247" s="188">
        <f>Q247*0.0001</f>
        <v>2.0700000000000002E-3</v>
      </c>
      <c r="T247" s="188"/>
      <c r="U247" s="188"/>
    </row>
    <row r="248" spans="1:21">
      <c r="A248" s="88" t="s">
        <v>947</v>
      </c>
      <c r="B248" s="415">
        <f>S248</f>
        <v>2.0700000000000002E-3</v>
      </c>
      <c r="C248" s="188" t="s">
        <v>609</v>
      </c>
      <c r="D248" s="188" t="s">
        <v>40</v>
      </c>
      <c r="E248" s="188" t="s">
        <v>29</v>
      </c>
      <c r="F248" s="188" t="s">
        <v>59</v>
      </c>
      <c r="G248" s="188" t="s">
        <v>33</v>
      </c>
      <c r="H248" s="188">
        <v>2</v>
      </c>
      <c r="I248" s="188">
        <f>LN(B248)</f>
        <v>-6.1802066717048589</v>
      </c>
      <c r="J248" s="188">
        <v>3.7749172176353707E-2</v>
      </c>
      <c r="K248" s="188" t="s">
        <v>31</v>
      </c>
      <c r="L248" s="188" t="s">
        <v>31</v>
      </c>
      <c r="M248" s="188" t="s">
        <v>31</v>
      </c>
      <c r="N248" s="188"/>
      <c r="O248" s="188"/>
      <c r="P248" s="400" t="s">
        <v>1125</v>
      </c>
      <c r="Q248" s="455">
        <v>20.7</v>
      </c>
      <c r="R248" s="188" t="s">
        <v>610</v>
      </c>
      <c r="S248" s="188">
        <f>Q248*0.0001</f>
        <v>2.0700000000000002E-3</v>
      </c>
      <c r="T248" s="188"/>
      <c r="U248" s="188"/>
    </row>
    <row r="249" spans="1:21" s="70" customFormat="1">
      <c r="A249" s="370" t="s">
        <v>5</v>
      </c>
      <c r="B249" s="371" t="s">
        <v>1201</v>
      </c>
      <c r="C249" s="353"/>
      <c r="D249" s="353"/>
      <c r="E249" s="353"/>
      <c r="F249" s="353"/>
      <c r="G249" s="353"/>
      <c r="H249" s="353"/>
      <c r="I249" s="353"/>
      <c r="J249" s="353"/>
      <c r="K249" s="353"/>
      <c r="L249" s="353"/>
      <c r="M249" s="353"/>
      <c r="N249" s="353"/>
      <c r="O249" s="353"/>
      <c r="P249" s="353"/>
      <c r="Q249" s="353"/>
      <c r="R249" s="353"/>
      <c r="S249" s="353"/>
      <c r="T249" s="353"/>
      <c r="U249" s="353"/>
    </row>
    <row r="250" spans="1:21">
      <c r="A250" s="346" t="s">
        <v>7</v>
      </c>
      <c r="B250" s="188" t="s">
        <v>786</v>
      </c>
      <c r="C250" s="345"/>
      <c r="D250" s="188"/>
      <c r="E250" s="188"/>
      <c r="F250" s="188"/>
      <c r="G250" s="188"/>
      <c r="H250" s="188"/>
      <c r="I250" s="188"/>
      <c r="J250" s="188"/>
      <c r="K250" s="188"/>
      <c r="L250" s="188"/>
      <c r="M250" s="188"/>
      <c r="N250" s="188"/>
      <c r="O250" s="188"/>
      <c r="P250" s="188"/>
      <c r="Q250" s="188"/>
      <c r="R250" s="188"/>
      <c r="S250" s="188"/>
      <c r="T250" s="188"/>
      <c r="U250" s="188"/>
    </row>
    <row r="251" spans="1:21">
      <c r="A251" s="424" t="s">
        <v>9</v>
      </c>
      <c r="B251" s="188" t="s">
        <v>1204</v>
      </c>
      <c r="C251" s="345"/>
      <c r="D251" s="188"/>
      <c r="E251" s="188"/>
      <c r="F251" s="188"/>
      <c r="G251" s="188"/>
      <c r="H251" s="188"/>
      <c r="I251" s="188"/>
      <c r="J251" s="188"/>
      <c r="K251" s="188"/>
      <c r="L251" s="188"/>
      <c r="M251" s="188"/>
      <c r="N251" s="188"/>
      <c r="O251" s="188"/>
      <c r="P251" s="188"/>
      <c r="Q251" s="188"/>
      <c r="R251" s="188"/>
      <c r="S251" s="188"/>
      <c r="T251" s="188"/>
      <c r="U251" s="188"/>
    </row>
    <row r="252" spans="1:21" ht="15.75" customHeight="1">
      <c r="A252" s="346" t="s">
        <v>11</v>
      </c>
      <c r="B252" s="347" t="s">
        <v>796</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46" t="s">
        <v>13</v>
      </c>
      <c r="B253" s="188" t="s">
        <v>14</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46" t="s">
        <v>15</v>
      </c>
      <c r="B254" s="415">
        <f>B259</f>
        <v>1.2E-2</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46" t="s">
        <v>16</v>
      </c>
      <c r="B255" s="188" t="s">
        <v>17</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46" t="s">
        <v>18</v>
      </c>
      <c r="B256" s="188" t="s">
        <v>609</v>
      </c>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43" t="s">
        <v>19</v>
      </c>
      <c r="B257" s="188"/>
      <c r="C257" s="188"/>
      <c r="D257" s="188"/>
      <c r="E257" s="188"/>
      <c r="F257" s="188"/>
      <c r="G257" s="188"/>
      <c r="H257" s="188"/>
      <c r="I257" s="188"/>
      <c r="J257" s="188"/>
      <c r="K257" s="188"/>
      <c r="L257" s="188"/>
      <c r="M257" s="188"/>
      <c r="N257" s="188"/>
      <c r="O257" s="188"/>
      <c r="P257" s="188"/>
      <c r="Q257" s="188"/>
      <c r="R257" s="188"/>
      <c r="S257" s="188"/>
      <c r="T257" s="188"/>
      <c r="U257" s="188"/>
    </row>
    <row r="258" spans="1:21">
      <c r="A258" s="344" t="s">
        <v>20</v>
      </c>
      <c r="B258" s="344" t="s">
        <v>21</v>
      </c>
      <c r="C258" s="344" t="s">
        <v>18</v>
      </c>
      <c r="D258" s="344" t="s">
        <v>22</v>
      </c>
      <c r="E258" s="344" t="s">
        <v>7</v>
      </c>
      <c r="F258" s="344" t="s">
        <v>13</v>
      </c>
      <c r="G258" s="344" t="s">
        <v>16</v>
      </c>
      <c r="H258" s="344" t="s">
        <v>23</v>
      </c>
      <c r="I258" s="344" t="s">
        <v>24</v>
      </c>
      <c r="J258" s="344" t="s">
        <v>25</v>
      </c>
      <c r="K258" s="344" t="s">
        <v>26</v>
      </c>
      <c r="L258" s="344" t="s">
        <v>27</v>
      </c>
      <c r="M258" s="344" t="s">
        <v>28</v>
      </c>
      <c r="N258" s="344" t="s">
        <v>11</v>
      </c>
      <c r="O258" s="188"/>
      <c r="P258" s="188"/>
      <c r="Q258" s="188"/>
      <c r="R258" s="188"/>
      <c r="S258" s="188"/>
      <c r="T258" s="188"/>
      <c r="U258" s="188"/>
    </row>
    <row r="259" spans="1:21">
      <c r="A259" s="188" t="s">
        <v>1201</v>
      </c>
      <c r="B259" s="415">
        <f>B260</f>
        <v>1.2E-2</v>
      </c>
      <c r="C259" s="188" t="s">
        <v>609</v>
      </c>
      <c r="D259" s="408" t="s">
        <v>2</v>
      </c>
      <c r="E259" s="188" t="s">
        <v>29</v>
      </c>
      <c r="F259" s="37" t="s">
        <v>14</v>
      </c>
      <c r="G259" s="188" t="s">
        <v>30</v>
      </c>
      <c r="H259" s="188">
        <v>1</v>
      </c>
      <c r="I259" s="415">
        <f>B259</f>
        <v>1.2E-2</v>
      </c>
      <c r="J259" s="188" t="s">
        <v>31</v>
      </c>
      <c r="K259" s="188" t="s">
        <v>31</v>
      </c>
      <c r="L259" s="188" t="s">
        <v>31</v>
      </c>
      <c r="M259" s="188" t="s">
        <v>31</v>
      </c>
      <c r="N259" s="188"/>
      <c r="O259" s="188"/>
      <c r="P259" s="188"/>
      <c r="Q259" s="188"/>
      <c r="R259" s="188"/>
      <c r="S259" s="188"/>
      <c r="T259" s="188"/>
      <c r="U259" s="188"/>
    </row>
    <row r="260" spans="1:21">
      <c r="A260" s="188" t="s">
        <v>1205</v>
      </c>
      <c r="B260" s="415">
        <f>P260</f>
        <v>1.2E-2</v>
      </c>
      <c r="C260" s="188" t="s">
        <v>609</v>
      </c>
      <c r="D260" s="408" t="s">
        <v>2</v>
      </c>
      <c r="E260" s="188" t="s">
        <v>29</v>
      </c>
      <c r="F260" s="188" t="s">
        <v>14</v>
      </c>
      <c r="G260" s="188" t="s">
        <v>33</v>
      </c>
      <c r="H260" s="188">
        <v>1</v>
      </c>
      <c r="I260" s="415">
        <f>B260</f>
        <v>1.2E-2</v>
      </c>
      <c r="J260" s="188" t="s">
        <v>31</v>
      </c>
      <c r="K260" s="188" t="s">
        <v>31</v>
      </c>
      <c r="L260" s="188" t="s">
        <v>31</v>
      </c>
      <c r="M260" s="188" t="s">
        <v>31</v>
      </c>
      <c r="N260" s="188"/>
      <c r="O260" s="188"/>
      <c r="P260" s="470">
        <v>1.2E-2</v>
      </c>
      <c r="Q260" s="188"/>
      <c r="R260" s="188"/>
      <c r="S260" s="188"/>
      <c r="T260" s="188"/>
      <c r="U260" s="188"/>
    </row>
    <row r="261" spans="1:21">
      <c r="A261" s="346" t="s">
        <v>269</v>
      </c>
      <c r="B261" s="350">
        <f>R261</f>
        <v>0.11</v>
      </c>
      <c r="C261" s="188" t="s">
        <v>39</v>
      </c>
      <c r="D261" s="188" t="s">
        <v>40</v>
      </c>
      <c r="E261" s="188" t="s">
        <v>29</v>
      </c>
      <c r="F261" s="37" t="s">
        <v>35</v>
      </c>
      <c r="G261" s="188" t="s">
        <v>33</v>
      </c>
      <c r="H261" s="188">
        <v>2</v>
      </c>
      <c r="I261" s="188">
        <f t="shared" ref="I261:I265" si="20">LN(B261)</f>
        <v>-2.2072749131897207</v>
      </c>
      <c r="J261" s="188">
        <v>0.20928449536456342</v>
      </c>
      <c r="K261" s="188" t="s">
        <v>31</v>
      </c>
      <c r="L261" s="188" t="s">
        <v>31</v>
      </c>
      <c r="M261" s="188" t="s">
        <v>31</v>
      </c>
      <c r="N261" s="188"/>
      <c r="O261" s="383" t="s">
        <v>248</v>
      </c>
      <c r="P261" s="138">
        <v>0.11</v>
      </c>
      <c r="Q261" s="188" t="s">
        <v>248</v>
      </c>
      <c r="R261" s="350">
        <f>P261</f>
        <v>0.11</v>
      </c>
      <c r="S261" s="188"/>
      <c r="T261" s="188"/>
      <c r="U261" s="188"/>
    </row>
    <row r="262" spans="1:21">
      <c r="A262" s="88" t="s">
        <v>798</v>
      </c>
      <c r="B262" s="188">
        <f>R262</f>
        <v>3.3E-3</v>
      </c>
      <c r="C262" s="188" t="s">
        <v>37</v>
      </c>
      <c r="D262" s="188" t="s">
        <v>40</v>
      </c>
      <c r="E262" s="188" t="s">
        <v>29</v>
      </c>
      <c r="F262" s="37" t="s">
        <v>35</v>
      </c>
      <c r="G262" s="188" t="s">
        <v>33</v>
      </c>
      <c r="H262" s="188">
        <v>2</v>
      </c>
      <c r="I262" s="188">
        <f t="shared" si="20"/>
        <v>-5.7138328105097029</v>
      </c>
      <c r="J262" s="188">
        <v>0.20928449536456342</v>
      </c>
      <c r="K262" s="188" t="s">
        <v>31</v>
      </c>
      <c r="L262" s="188" t="s">
        <v>31</v>
      </c>
      <c r="M262" s="188" t="s">
        <v>31</v>
      </c>
      <c r="N262" s="188"/>
      <c r="O262" s="401" t="s">
        <v>580</v>
      </c>
      <c r="P262" s="138">
        <v>3.3</v>
      </c>
      <c r="Q262" s="188" t="s">
        <v>241</v>
      </c>
      <c r="R262" s="188">
        <f>0.001*P262</f>
        <v>3.3E-3</v>
      </c>
      <c r="S262" s="188"/>
      <c r="T262" s="188"/>
      <c r="U262" s="188"/>
    </row>
    <row r="263" spans="1:21">
      <c r="A263" s="88" t="s">
        <v>308</v>
      </c>
      <c r="B263" s="188">
        <f>R263</f>
        <v>5.0000000000000001E-4</v>
      </c>
      <c r="C263" s="188" t="s">
        <v>37</v>
      </c>
      <c r="D263" s="188" t="s">
        <v>40</v>
      </c>
      <c r="E263" s="188" t="s">
        <v>29</v>
      </c>
      <c r="F263" s="37" t="s">
        <v>59</v>
      </c>
      <c r="G263" s="188" t="s">
        <v>33</v>
      </c>
      <c r="H263" s="188">
        <v>2</v>
      </c>
      <c r="I263" s="188">
        <f t="shared" si="20"/>
        <v>-7.6009024595420822</v>
      </c>
      <c r="J263" s="188">
        <v>0.20928449536456342</v>
      </c>
      <c r="K263" s="188" t="s">
        <v>31</v>
      </c>
      <c r="L263" s="188" t="s">
        <v>31</v>
      </c>
      <c r="M263" s="188" t="s">
        <v>31</v>
      </c>
      <c r="N263" s="188"/>
      <c r="O263" s="401" t="s">
        <v>580</v>
      </c>
      <c r="P263" s="138">
        <v>0.5</v>
      </c>
      <c r="Q263" s="188" t="s">
        <v>241</v>
      </c>
      <c r="R263" s="188">
        <f>0.001*P263</f>
        <v>5.0000000000000001E-4</v>
      </c>
      <c r="S263" s="188"/>
      <c r="T263" s="188"/>
      <c r="U263" s="188"/>
    </row>
    <row r="264" spans="1:21">
      <c r="A264" s="346" t="s">
        <v>799</v>
      </c>
      <c r="B264" s="188">
        <f>R264</f>
        <v>1.6300000000000002E-2</v>
      </c>
      <c r="C264" s="188" t="s">
        <v>37</v>
      </c>
      <c r="D264" s="188" t="s">
        <v>40</v>
      </c>
      <c r="E264" s="188" t="s">
        <v>29</v>
      </c>
      <c r="F264" s="37" t="s">
        <v>74</v>
      </c>
      <c r="G264" s="188" t="s">
        <v>33</v>
      </c>
      <c r="H264" s="188">
        <v>2</v>
      </c>
      <c r="I264" s="188">
        <f t="shared" si="20"/>
        <v>-4.1165901711694204</v>
      </c>
      <c r="J264" s="188">
        <v>0.20928449536456342</v>
      </c>
      <c r="K264" s="188" t="s">
        <v>31</v>
      </c>
      <c r="L264" s="188" t="s">
        <v>31</v>
      </c>
      <c r="M264" s="188" t="s">
        <v>31</v>
      </c>
      <c r="N264" s="188"/>
      <c r="O264" s="401" t="s">
        <v>580</v>
      </c>
      <c r="P264" s="138">
        <v>16.3</v>
      </c>
      <c r="Q264" s="188" t="s">
        <v>241</v>
      </c>
      <c r="R264" s="188">
        <f>0.001*P264</f>
        <v>1.6300000000000002E-2</v>
      </c>
      <c r="S264" s="188"/>
      <c r="T264" s="188"/>
      <c r="U264" s="188"/>
    </row>
    <row r="265" spans="1:21">
      <c r="A265" s="188" t="s">
        <v>784</v>
      </c>
      <c r="B265" s="188">
        <f>R265</f>
        <v>3.8E-3</v>
      </c>
      <c r="C265" s="188" t="s">
        <v>37</v>
      </c>
      <c r="D265" s="408" t="s">
        <v>2</v>
      </c>
      <c r="E265" s="188" t="s">
        <v>29</v>
      </c>
      <c r="F265" s="37" t="s">
        <v>74</v>
      </c>
      <c r="G265" s="188" t="s">
        <v>33</v>
      </c>
      <c r="H265" s="188">
        <v>2</v>
      </c>
      <c r="I265" s="188">
        <f t="shared" si="20"/>
        <v>-5.5727542122497971</v>
      </c>
      <c r="J265" s="188">
        <v>0.20928449536456342</v>
      </c>
      <c r="K265" s="188" t="s">
        <v>31</v>
      </c>
      <c r="L265" s="188" t="s">
        <v>31</v>
      </c>
      <c r="M265" s="188" t="s">
        <v>31</v>
      </c>
      <c r="N265" s="188"/>
      <c r="O265" s="447" t="s">
        <v>580</v>
      </c>
      <c r="P265" s="142">
        <v>3.8</v>
      </c>
      <c r="Q265" s="188" t="s">
        <v>241</v>
      </c>
      <c r="R265" s="188">
        <f>0.001*P265</f>
        <v>3.8E-3</v>
      </c>
      <c r="S265" s="188"/>
      <c r="T265" s="188"/>
      <c r="U265" s="188"/>
    </row>
    <row r="266" spans="1:21" s="70" customFormat="1">
      <c r="A266" s="370" t="s">
        <v>5</v>
      </c>
      <c r="B266" s="371" t="s">
        <v>1205</v>
      </c>
      <c r="C266" s="353"/>
      <c r="D266" s="353"/>
      <c r="E266" s="353"/>
      <c r="F266" s="353"/>
      <c r="G266" s="353"/>
      <c r="H266" s="353"/>
      <c r="I266" s="353"/>
      <c r="J266" s="353"/>
      <c r="K266" s="353"/>
      <c r="L266" s="353"/>
      <c r="M266" s="353"/>
      <c r="N266" s="353"/>
      <c r="O266" s="353"/>
      <c r="P266" s="353"/>
      <c r="Q266" s="353"/>
      <c r="R266" s="353"/>
      <c r="S266" s="353"/>
      <c r="T266" s="353"/>
      <c r="U266" s="353"/>
    </row>
    <row r="267" spans="1:21">
      <c r="A267" s="346" t="s">
        <v>7</v>
      </c>
      <c r="B267" s="188" t="s">
        <v>786</v>
      </c>
      <c r="C267" s="345"/>
      <c r="D267" s="188"/>
      <c r="E267" s="188"/>
      <c r="F267" s="188"/>
      <c r="G267" s="188"/>
      <c r="H267" s="188"/>
      <c r="I267" s="188"/>
      <c r="J267" s="188"/>
      <c r="K267" s="188"/>
      <c r="L267" s="188"/>
      <c r="M267" s="188"/>
      <c r="N267" s="188"/>
      <c r="O267" s="188"/>
      <c r="P267" s="188"/>
      <c r="Q267" s="188"/>
      <c r="R267" s="188"/>
      <c r="S267" s="188"/>
      <c r="T267" s="188"/>
      <c r="U267" s="188"/>
    </row>
    <row r="268" spans="1:21">
      <c r="A268" s="424" t="s">
        <v>9</v>
      </c>
      <c r="B268" s="188" t="s">
        <v>1206</v>
      </c>
      <c r="C268" s="345"/>
      <c r="D268" s="188"/>
      <c r="E268" s="188"/>
      <c r="F268" s="188"/>
      <c r="G268" s="188"/>
      <c r="H268" s="188"/>
      <c r="I268" s="188"/>
      <c r="J268" s="188"/>
      <c r="K268" s="188"/>
      <c r="L268" s="188"/>
      <c r="M268" s="188"/>
      <c r="N268" s="188"/>
      <c r="O268" s="188"/>
      <c r="P268" s="188"/>
      <c r="Q268" s="188"/>
      <c r="R268" s="188"/>
      <c r="S268" s="188"/>
      <c r="T268" s="188"/>
      <c r="U268" s="188"/>
    </row>
    <row r="269" spans="1:21" ht="15.75" customHeight="1">
      <c r="A269" s="346" t="s">
        <v>11</v>
      </c>
      <c r="B269" s="347" t="s">
        <v>796</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46" t="s">
        <v>13</v>
      </c>
      <c r="B270" s="188" t="s">
        <v>14</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46" t="s">
        <v>15</v>
      </c>
      <c r="B271" s="415">
        <f>B276</f>
        <v>1.2E-2</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46" t="s">
        <v>16</v>
      </c>
      <c r="B272" s="188" t="s">
        <v>17</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46" t="s">
        <v>18</v>
      </c>
      <c r="B273" s="188" t="s">
        <v>609</v>
      </c>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43" t="s">
        <v>19</v>
      </c>
      <c r="B274" s="188"/>
      <c r="C274" s="188"/>
      <c r="D274" s="188"/>
      <c r="E274" s="188"/>
      <c r="F274" s="188"/>
      <c r="G274" s="188"/>
      <c r="H274" s="188"/>
      <c r="I274" s="188"/>
      <c r="J274" s="188"/>
      <c r="K274" s="188"/>
      <c r="L274" s="188"/>
      <c r="M274" s="188"/>
      <c r="N274" s="188"/>
      <c r="O274" s="188"/>
      <c r="P274" s="188"/>
      <c r="Q274" s="188"/>
      <c r="R274" s="188"/>
      <c r="S274" s="188"/>
      <c r="T274" s="188"/>
      <c r="U274" s="188"/>
    </row>
    <row r="275" spans="1:21">
      <c r="A275" s="344" t="s">
        <v>20</v>
      </c>
      <c r="B275" s="344" t="s">
        <v>21</v>
      </c>
      <c r="C275" s="344" t="s">
        <v>18</v>
      </c>
      <c r="D275" s="344" t="s">
        <v>22</v>
      </c>
      <c r="E275" s="344" t="s">
        <v>7</v>
      </c>
      <c r="F275" s="344" t="s">
        <v>13</v>
      </c>
      <c r="G275" s="344" t="s">
        <v>16</v>
      </c>
      <c r="H275" s="344" t="s">
        <v>23</v>
      </c>
      <c r="I275" s="344" t="s">
        <v>24</v>
      </c>
      <c r="J275" s="344" t="s">
        <v>25</v>
      </c>
      <c r="K275" s="344" t="s">
        <v>26</v>
      </c>
      <c r="L275" s="344" t="s">
        <v>27</v>
      </c>
      <c r="M275" s="344" t="s">
        <v>28</v>
      </c>
      <c r="N275" s="344" t="s">
        <v>11</v>
      </c>
      <c r="O275" s="188"/>
      <c r="P275" s="188"/>
      <c r="Q275" s="188"/>
      <c r="R275" s="188"/>
      <c r="S275" s="188"/>
      <c r="T275" s="188"/>
      <c r="U275" s="188"/>
    </row>
    <row r="276" spans="1:21">
      <c r="A276" s="188" t="s">
        <v>1205</v>
      </c>
      <c r="B276" s="415">
        <f>P277</f>
        <v>1.2E-2</v>
      </c>
      <c r="C276" s="188" t="s">
        <v>609</v>
      </c>
      <c r="D276" s="408" t="s">
        <v>2</v>
      </c>
      <c r="E276" s="188" t="s">
        <v>29</v>
      </c>
      <c r="F276" s="188" t="s">
        <v>14</v>
      </c>
      <c r="G276" s="188" t="s">
        <v>30</v>
      </c>
      <c r="H276" s="188">
        <v>1</v>
      </c>
      <c r="I276" s="415">
        <f>B276</f>
        <v>1.2E-2</v>
      </c>
      <c r="J276" s="188" t="s">
        <v>31</v>
      </c>
      <c r="K276" s="188" t="s">
        <v>31</v>
      </c>
      <c r="L276" s="188" t="s">
        <v>31</v>
      </c>
      <c r="M276" s="188" t="s">
        <v>31</v>
      </c>
      <c r="N276" s="188"/>
      <c r="O276" s="188"/>
      <c r="P276" s="188"/>
      <c r="Q276" s="188"/>
      <c r="R276" s="188"/>
      <c r="S276" s="188"/>
      <c r="T276" s="188"/>
      <c r="U276" s="188"/>
    </row>
    <row r="277" spans="1:21">
      <c r="A277" s="188" t="s">
        <v>1207</v>
      </c>
      <c r="B277" s="415">
        <f>P277</f>
        <v>1.2E-2</v>
      </c>
      <c r="C277" s="188" t="s">
        <v>609</v>
      </c>
      <c r="D277" s="408" t="s">
        <v>2</v>
      </c>
      <c r="E277" s="188" t="s">
        <v>29</v>
      </c>
      <c r="F277" s="188" t="s">
        <v>14</v>
      </c>
      <c r="G277" s="188" t="s">
        <v>33</v>
      </c>
      <c r="H277" s="188">
        <v>1</v>
      </c>
      <c r="I277" s="415">
        <f>B277</f>
        <v>1.2E-2</v>
      </c>
      <c r="J277" s="188" t="s">
        <v>31</v>
      </c>
      <c r="K277" s="188" t="s">
        <v>31</v>
      </c>
      <c r="L277" s="188" t="s">
        <v>31</v>
      </c>
      <c r="M277" s="188" t="s">
        <v>31</v>
      </c>
      <c r="N277" s="188"/>
      <c r="O277" s="188"/>
      <c r="P277" s="470">
        <v>1.2E-2</v>
      </c>
      <c r="Q277" s="188"/>
      <c r="R277" s="188"/>
      <c r="S277" s="188"/>
      <c r="T277" s="188"/>
      <c r="U277" s="188"/>
    </row>
    <row r="278" spans="1:21">
      <c r="A278" s="346" t="s">
        <v>269</v>
      </c>
      <c r="B278" s="350">
        <f>P278</f>
        <v>2.29</v>
      </c>
      <c r="C278" s="188" t="s">
        <v>39</v>
      </c>
      <c r="D278" s="188" t="s">
        <v>40</v>
      </c>
      <c r="E278" s="188" t="s">
        <v>29</v>
      </c>
      <c r="F278" s="37" t="s">
        <v>35</v>
      </c>
      <c r="G278" s="188" t="s">
        <v>33</v>
      </c>
      <c r="H278" s="188">
        <v>2</v>
      </c>
      <c r="I278" s="188">
        <f t="shared" ref="I278:I279" si="21">LN(B278)</f>
        <v>0.82855181756614826</v>
      </c>
      <c r="J278" s="188">
        <v>0.20928449536456342</v>
      </c>
      <c r="K278" s="188" t="s">
        <v>31</v>
      </c>
      <c r="L278" s="188" t="s">
        <v>31</v>
      </c>
      <c r="M278" s="188" t="s">
        <v>31</v>
      </c>
      <c r="N278" s="188"/>
      <c r="O278" s="401" t="s">
        <v>248</v>
      </c>
      <c r="P278" s="414">
        <f>1.58+0.71</f>
        <v>2.29</v>
      </c>
      <c r="Q278" s="188"/>
      <c r="R278" s="188"/>
      <c r="S278" s="188"/>
      <c r="T278" s="188"/>
      <c r="U278" s="188"/>
    </row>
    <row r="279" spans="1:21">
      <c r="A279" s="346" t="s">
        <v>799</v>
      </c>
      <c r="B279" s="350">
        <f>R279</f>
        <v>4.5999999999999999E-3</v>
      </c>
      <c r="C279" s="188" t="s">
        <v>37</v>
      </c>
      <c r="D279" s="188" t="s">
        <v>40</v>
      </c>
      <c r="E279" s="188" t="s">
        <v>29</v>
      </c>
      <c r="F279" s="37" t="s">
        <v>74</v>
      </c>
      <c r="G279" s="188" t="s">
        <v>33</v>
      </c>
      <c r="H279" s="188">
        <v>2</v>
      </c>
      <c r="I279" s="188">
        <f t="shared" si="21"/>
        <v>-5.3816989754870876</v>
      </c>
      <c r="J279" s="188">
        <v>0.20928449536456342</v>
      </c>
      <c r="K279" s="188" t="s">
        <v>31</v>
      </c>
      <c r="L279" s="188" t="s">
        <v>31</v>
      </c>
      <c r="M279" s="188" t="s">
        <v>31</v>
      </c>
      <c r="N279" s="188"/>
      <c r="O279" s="401" t="s">
        <v>580</v>
      </c>
      <c r="P279" s="138">
        <v>4.5999999999999996</v>
      </c>
      <c r="Q279" s="188" t="s">
        <v>241</v>
      </c>
      <c r="R279" s="188">
        <f>P279*0.001</f>
        <v>4.5999999999999999E-3</v>
      </c>
      <c r="S279" s="188"/>
      <c r="T279" s="188"/>
      <c r="U279" s="188"/>
    </row>
    <row r="280" spans="1:21">
      <c r="A280" s="88" t="s">
        <v>545</v>
      </c>
      <c r="B280" s="350">
        <f>R280</f>
        <v>5.5999999999999999E-3</v>
      </c>
      <c r="C280" s="188" t="s">
        <v>37</v>
      </c>
      <c r="D280" s="188" t="s">
        <v>40</v>
      </c>
      <c r="E280" s="188" t="s">
        <v>29</v>
      </c>
      <c r="F280" s="188" t="s">
        <v>35</v>
      </c>
      <c r="G280" s="188" t="s">
        <v>33</v>
      </c>
      <c r="H280" s="188">
        <v>2</v>
      </c>
      <c r="I280" s="188">
        <f>LN(B280)</f>
        <v>-5.1849886812410331</v>
      </c>
      <c r="J280" s="188">
        <v>0.20928449536456342</v>
      </c>
      <c r="K280" s="188" t="s">
        <v>31</v>
      </c>
      <c r="L280" s="188" t="s">
        <v>31</v>
      </c>
      <c r="M280" s="188" t="s">
        <v>31</v>
      </c>
      <c r="N280" s="188"/>
      <c r="O280" s="401" t="s">
        <v>580</v>
      </c>
      <c r="P280" s="138">
        <v>5.6</v>
      </c>
      <c r="Q280" s="188" t="s">
        <v>241</v>
      </c>
      <c r="R280" s="188">
        <f>P280*0.001</f>
        <v>5.5999999999999999E-3</v>
      </c>
      <c r="S280" s="188"/>
      <c r="T280" s="188"/>
      <c r="U280" s="188"/>
    </row>
    <row r="281" spans="1:21">
      <c r="A281" s="188" t="s">
        <v>784</v>
      </c>
      <c r="B281" s="350">
        <f>R281</f>
        <v>5.5999999999999999E-3</v>
      </c>
      <c r="C281" s="188" t="s">
        <v>37</v>
      </c>
      <c r="D281" s="408" t="s">
        <v>2</v>
      </c>
      <c r="E281" s="188" t="s">
        <v>29</v>
      </c>
      <c r="F281" s="37" t="s">
        <v>74</v>
      </c>
      <c r="G281" s="188" t="s">
        <v>33</v>
      </c>
      <c r="H281" s="188">
        <v>2</v>
      </c>
      <c r="I281" s="188">
        <f t="shared" ref="I281" si="22">LN(B281)</f>
        <v>-5.1849886812410331</v>
      </c>
      <c r="J281" s="188">
        <v>0.20928449536456342</v>
      </c>
      <c r="K281" s="188" t="s">
        <v>31</v>
      </c>
      <c r="L281" s="188" t="s">
        <v>31</v>
      </c>
      <c r="M281" s="188" t="s">
        <v>31</v>
      </c>
      <c r="N281" s="188"/>
      <c r="O281" s="447" t="s">
        <v>580</v>
      </c>
      <c r="P281" s="142">
        <v>5.6</v>
      </c>
      <c r="Q281" s="188" t="s">
        <v>241</v>
      </c>
      <c r="R281" s="188">
        <f>0.001*P281</f>
        <v>5.5999999999999999E-3</v>
      </c>
      <c r="S281" s="188"/>
      <c r="T281" s="188"/>
      <c r="U281" s="188"/>
    </row>
    <row r="282" spans="1:21" s="70" customFormat="1">
      <c r="A282" s="370" t="s">
        <v>5</v>
      </c>
      <c r="B282" s="371" t="s">
        <v>1207</v>
      </c>
      <c r="C282" s="353"/>
      <c r="D282" s="353"/>
      <c r="E282" s="353"/>
      <c r="F282" s="353"/>
      <c r="G282" s="353"/>
      <c r="H282" s="353"/>
      <c r="I282" s="353"/>
      <c r="J282" s="353"/>
      <c r="K282" s="353"/>
      <c r="L282" s="353"/>
      <c r="M282" s="353"/>
      <c r="N282" s="353"/>
      <c r="O282" s="353"/>
      <c r="P282" s="437"/>
      <c r="Q282" s="353"/>
      <c r="R282" s="353"/>
      <c r="S282" s="353"/>
      <c r="T282" s="353"/>
      <c r="U282" s="353"/>
    </row>
    <row r="283" spans="1:21">
      <c r="A283" s="346" t="s">
        <v>7</v>
      </c>
      <c r="B283" s="188" t="s">
        <v>786</v>
      </c>
      <c r="C283" s="345"/>
      <c r="D283" s="188"/>
      <c r="E283" s="188"/>
      <c r="F283" s="188"/>
      <c r="G283" s="188"/>
      <c r="H283" s="188"/>
      <c r="I283" s="188"/>
      <c r="J283" s="188"/>
      <c r="K283" s="188"/>
      <c r="L283" s="188"/>
      <c r="M283" s="188"/>
      <c r="N283" s="188"/>
      <c r="O283" s="188"/>
      <c r="P283" s="188"/>
      <c r="Q283" s="188"/>
      <c r="R283" s="188"/>
      <c r="S283" s="188"/>
      <c r="T283" s="188"/>
      <c r="U283" s="188"/>
    </row>
    <row r="284" spans="1:21">
      <c r="A284" s="424" t="s">
        <v>9</v>
      </c>
      <c r="B284" s="188" t="s">
        <v>1208</v>
      </c>
      <c r="C284" s="345"/>
      <c r="D284" s="188"/>
      <c r="E284" s="188"/>
      <c r="F284" s="188"/>
      <c r="G284" s="188"/>
      <c r="H284" s="188"/>
      <c r="I284" s="188"/>
      <c r="J284" s="188"/>
      <c r="K284" s="188"/>
      <c r="L284" s="188"/>
      <c r="M284" s="188"/>
      <c r="N284" s="188"/>
      <c r="O284" s="188"/>
      <c r="P284" s="188"/>
      <c r="Q284" s="188"/>
      <c r="R284" s="188"/>
      <c r="S284" s="188"/>
      <c r="T284" s="188"/>
      <c r="U284" s="188"/>
    </row>
    <row r="285" spans="1:21" ht="15.75" customHeight="1">
      <c r="A285" s="346" t="s">
        <v>11</v>
      </c>
      <c r="B285" s="347" t="s">
        <v>796</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46" t="s">
        <v>13</v>
      </c>
      <c r="B286" s="188" t="s">
        <v>14</v>
      </c>
      <c r="C286" s="188"/>
      <c r="D286" s="188"/>
      <c r="E286" s="188"/>
      <c r="F286" s="188"/>
      <c r="G286" s="188"/>
      <c r="H286" s="188"/>
      <c r="I286" s="188"/>
      <c r="J286" s="188"/>
      <c r="K286" s="188"/>
      <c r="L286" s="188"/>
      <c r="M286" s="188"/>
      <c r="N286" s="188"/>
      <c r="O286" s="188"/>
      <c r="P286" s="188"/>
      <c r="Q286" s="188"/>
      <c r="R286" s="188"/>
      <c r="S286" s="188"/>
      <c r="T286" s="188"/>
      <c r="U286" s="188"/>
    </row>
    <row r="287" spans="1:21">
      <c r="A287" s="346" t="s">
        <v>15</v>
      </c>
      <c r="B287" s="415">
        <f>B292</f>
        <v>0.02</v>
      </c>
      <c r="C287" s="188"/>
      <c r="D287" s="188"/>
      <c r="E287" s="188"/>
      <c r="F287" s="188"/>
      <c r="G287" s="188"/>
      <c r="H287" s="188"/>
      <c r="I287" s="188"/>
      <c r="J287" s="188"/>
      <c r="K287" s="188"/>
      <c r="L287" s="188"/>
      <c r="M287" s="188"/>
      <c r="N287" s="188"/>
      <c r="O287" s="188"/>
      <c r="P287" s="188"/>
      <c r="Q287" s="188"/>
      <c r="R287" s="188"/>
      <c r="S287" s="188"/>
      <c r="T287" s="188"/>
      <c r="U287" s="188"/>
    </row>
    <row r="288" spans="1:21">
      <c r="A288" s="346" t="s">
        <v>16</v>
      </c>
      <c r="B288" s="188" t="s">
        <v>17</v>
      </c>
      <c r="C288" s="188"/>
      <c r="D288" s="188"/>
      <c r="E288" s="188"/>
      <c r="F288" s="188"/>
      <c r="G288" s="188"/>
      <c r="H288" s="188"/>
      <c r="I288" s="188"/>
      <c r="J288" s="188"/>
      <c r="K288" s="188"/>
      <c r="L288" s="188"/>
      <c r="M288" s="188"/>
      <c r="N288" s="188"/>
      <c r="O288" s="188"/>
      <c r="P288" s="188"/>
      <c r="Q288" s="188"/>
      <c r="R288" s="344" t="s">
        <v>885</v>
      </c>
      <c r="S288" s="188"/>
      <c r="T288" s="188"/>
      <c r="U288" s="188"/>
    </row>
    <row r="289" spans="1:21">
      <c r="A289" s="346" t="s">
        <v>18</v>
      </c>
      <c r="B289" s="188" t="s">
        <v>609</v>
      </c>
      <c r="C289" s="188"/>
      <c r="D289" s="188"/>
      <c r="E289" s="188"/>
      <c r="F289" s="188"/>
      <c r="G289" s="188"/>
      <c r="H289" s="188"/>
      <c r="I289" s="188"/>
      <c r="J289" s="188"/>
      <c r="K289" s="188"/>
      <c r="L289" s="188"/>
      <c r="M289" s="188"/>
      <c r="N289" s="188"/>
      <c r="O289" s="188"/>
      <c r="P289" s="188"/>
      <c r="Q289" s="188"/>
      <c r="R289" s="188" t="s">
        <v>886</v>
      </c>
      <c r="S289" s="188">
        <v>8900</v>
      </c>
      <c r="T289" s="188" t="s">
        <v>887</v>
      </c>
      <c r="U289" s="188"/>
    </row>
    <row r="290" spans="1:21">
      <c r="A290" s="343" t="s">
        <v>19</v>
      </c>
      <c r="B290" s="188"/>
      <c r="C290" s="188"/>
      <c r="D290" s="188"/>
      <c r="E290" s="188"/>
      <c r="F290" s="188"/>
      <c r="G290" s="188"/>
      <c r="H290" s="188"/>
      <c r="I290" s="188"/>
      <c r="J290" s="188"/>
      <c r="K290" s="188"/>
      <c r="L290" s="188"/>
      <c r="M290" s="188"/>
      <c r="N290" s="188"/>
      <c r="O290" s="188"/>
      <c r="P290" s="188"/>
      <c r="Q290" s="188"/>
      <c r="R290" s="188" t="s">
        <v>888</v>
      </c>
      <c r="S290" s="188">
        <f>5*10^-6</f>
        <v>4.9999999999999996E-6</v>
      </c>
      <c r="T290" s="188" t="s">
        <v>889</v>
      </c>
      <c r="U290" s="188"/>
    </row>
    <row r="291" spans="1:21">
      <c r="A291" s="344" t="s">
        <v>20</v>
      </c>
      <c r="B291" s="344" t="s">
        <v>21</v>
      </c>
      <c r="C291" s="344" t="s">
        <v>18</v>
      </c>
      <c r="D291" s="344" t="s">
        <v>22</v>
      </c>
      <c r="E291" s="344" t="s">
        <v>7</v>
      </c>
      <c r="F291" s="344" t="s">
        <v>13</v>
      </c>
      <c r="G291" s="344" t="s">
        <v>16</v>
      </c>
      <c r="H291" s="344" t="s">
        <v>23</v>
      </c>
      <c r="I291" s="344" t="s">
        <v>24</v>
      </c>
      <c r="J291" s="344" t="s">
        <v>25</v>
      </c>
      <c r="K291" s="344" t="s">
        <v>26</v>
      </c>
      <c r="L291" s="344" t="s">
        <v>27</v>
      </c>
      <c r="M291" s="344" t="s">
        <v>28</v>
      </c>
      <c r="N291" s="344" t="s">
        <v>11</v>
      </c>
      <c r="O291" s="188"/>
      <c r="P291" s="188"/>
      <c r="Q291" s="188"/>
      <c r="R291" s="427" t="s">
        <v>890</v>
      </c>
      <c r="S291" s="428">
        <f>S290*S289</f>
        <v>4.4499999999999998E-2</v>
      </c>
      <c r="T291" s="429" t="s">
        <v>891</v>
      </c>
      <c r="U291" s="188"/>
    </row>
    <row r="292" spans="1:21">
      <c r="A292" s="188" t="s">
        <v>1207</v>
      </c>
      <c r="B292" s="415">
        <v>0.02</v>
      </c>
      <c r="C292" s="188" t="s">
        <v>609</v>
      </c>
      <c r="D292" s="408" t="s">
        <v>2</v>
      </c>
      <c r="E292" s="188" t="s">
        <v>29</v>
      </c>
      <c r="F292" s="188" t="s">
        <v>14</v>
      </c>
      <c r="G292" s="188" t="s">
        <v>30</v>
      </c>
      <c r="H292" s="188">
        <v>1</v>
      </c>
      <c r="I292" s="415">
        <f>B292</f>
        <v>0.02</v>
      </c>
      <c r="J292" s="188" t="s">
        <v>31</v>
      </c>
      <c r="K292" s="188" t="s">
        <v>31</v>
      </c>
      <c r="L292" s="188" t="s">
        <v>31</v>
      </c>
      <c r="M292" s="188" t="s">
        <v>31</v>
      </c>
      <c r="N292" s="188"/>
      <c r="O292" s="401" t="s">
        <v>892</v>
      </c>
      <c r="P292" s="414">
        <f>B292*100</f>
        <v>2</v>
      </c>
      <c r="Q292" s="188"/>
      <c r="R292" s="188"/>
      <c r="S292" s="188"/>
      <c r="T292" s="188"/>
      <c r="U292" s="188"/>
    </row>
    <row r="293" spans="1:21">
      <c r="A293" s="188" t="s">
        <v>1209</v>
      </c>
      <c r="B293" s="415">
        <v>0.02</v>
      </c>
      <c r="C293" s="188" t="s">
        <v>609</v>
      </c>
      <c r="D293" s="408" t="s">
        <v>2</v>
      </c>
      <c r="E293" s="188" t="s">
        <v>29</v>
      </c>
      <c r="F293" s="188" t="s">
        <v>14</v>
      </c>
      <c r="G293" s="188" t="s">
        <v>33</v>
      </c>
      <c r="H293" s="188">
        <v>1</v>
      </c>
      <c r="I293" s="415">
        <f>B293</f>
        <v>0.02</v>
      </c>
      <c r="J293" s="188">
        <v>7.2284161474004766E-2</v>
      </c>
      <c r="K293" s="188" t="s">
        <v>31</v>
      </c>
      <c r="L293" s="188" t="s">
        <v>31</v>
      </c>
      <c r="M293" s="188" t="s">
        <v>31</v>
      </c>
      <c r="N293" s="188"/>
      <c r="O293" s="401" t="s">
        <v>892</v>
      </c>
      <c r="P293" s="414">
        <f>B293*100</f>
        <v>2</v>
      </c>
      <c r="Q293" s="188"/>
      <c r="R293" s="188" t="s">
        <v>554</v>
      </c>
      <c r="S293" s="188"/>
      <c r="T293" s="188"/>
      <c r="U293" s="410"/>
    </row>
    <row r="294" spans="1:21">
      <c r="A294" s="192" t="s">
        <v>1153</v>
      </c>
      <c r="B294" s="420">
        <f>T294</f>
        <v>2.5809999999999996E-2</v>
      </c>
      <c r="C294" s="188" t="s">
        <v>37</v>
      </c>
      <c r="D294" s="408" t="s">
        <v>2</v>
      </c>
      <c r="E294" s="188" t="s">
        <v>29</v>
      </c>
      <c r="F294" s="37" t="s">
        <v>14</v>
      </c>
      <c r="G294" s="188" t="s">
        <v>33</v>
      </c>
      <c r="H294" s="188">
        <v>1</v>
      </c>
      <c r="I294" s="415">
        <f>B294</f>
        <v>2.5809999999999996E-2</v>
      </c>
      <c r="J294" s="188">
        <v>7.2284161474004766E-2</v>
      </c>
      <c r="K294" s="188" t="s">
        <v>31</v>
      </c>
      <c r="L294" s="188" t="s">
        <v>31</v>
      </c>
      <c r="M294" s="188" t="s">
        <v>31</v>
      </c>
      <c r="N294" s="188"/>
      <c r="O294" s="432"/>
      <c r="P294" s="433"/>
      <c r="Q294" s="188"/>
      <c r="R294" s="430">
        <v>0.57999999999999996</v>
      </c>
      <c r="S294" s="431" t="s">
        <v>610</v>
      </c>
      <c r="T294" s="430">
        <f>R294*S291</f>
        <v>2.5809999999999996E-2</v>
      </c>
      <c r="U294" s="431" t="s">
        <v>241</v>
      </c>
    </row>
    <row r="295" spans="1:21">
      <c r="A295" s="346" t="s">
        <v>799</v>
      </c>
      <c r="B295" s="188">
        <f>P295</f>
        <v>4.7</v>
      </c>
      <c r="C295" s="188" t="s">
        <v>37</v>
      </c>
      <c r="D295" s="188" t="s">
        <v>40</v>
      </c>
      <c r="E295" s="188" t="s">
        <v>29</v>
      </c>
      <c r="F295" s="37" t="s">
        <v>74</v>
      </c>
      <c r="G295" s="188" t="s">
        <v>33</v>
      </c>
      <c r="H295" s="188">
        <v>2</v>
      </c>
      <c r="I295" s="188">
        <f t="shared" ref="I295" si="23">LN(B295)</f>
        <v>1.547562508716013</v>
      </c>
      <c r="J295" s="188">
        <v>7.2284161474004766E-2</v>
      </c>
      <c r="K295" s="188" t="s">
        <v>31</v>
      </c>
      <c r="L295" s="188" t="s">
        <v>31</v>
      </c>
      <c r="M295" s="188" t="s">
        <v>31</v>
      </c>
      <c r="N295" s="188"/>
      <c r="O295" s="401" t="s">
        <v>241</v>
      </c>
      <c r="P295" s="138">
        <v>4.7</v>
      </c>
      <c r="Q295" s="188"/>
      <c r="R295" s="188"/>
      <c r="S295" s="188"/>
      <c r="T295" s="188"/>
      <c r="U295" s="188"/>
    </row>
    <row r="296" spans="1:21">
      <c r="A296" s="88" t="s">
        <v>874</v>
      </c>
      <c r="B296" s="350">
        <f>R296</f>
        <v>2.0000000000000001E-4</v>
      </c>
      <c r="C296" s="188" t="s">
        <v>37</v>
      </c>
      <c r="D296" s="188" t="s">
        <v>40</v>
      </c>
      <c r="E296" s="188" t="s">
        <v>29</v>
      </c>
      <c r="F296" s="37" t="s">
        <v>59</v>
      </c>
      <c r="G296" s="188" t="s">
        <v>33</v>
      </c>
      <c r="H296" s="188">
        <v>2</v>
      </c>
      <c r="I296" s="188">
        <f>LN(B296)</f>
        <v>-8.5171931914162382</v>
      </c>
      <c r="J296" s="188">
        <v>7.2284161474004766E-2</v>
      </c>
      <c r="K296" s="188" t="s">
        <v>31</v>
      </c>
      <c r="L296" s="188" t="s">
        <v>31</v>
      </c>
      <c r="M296" s="188" t="s">
        <v>31</v>
      </c>
      <c r="N296" s="188"/>
      <c r="O296" s="416" t="s">
        <v>538</v>
      </c>
      <c r="P296" s="141">
        <v>0.2</v>
      </c>
      <c r="Q296" s="401" t="s">
        <v>241</v>
      </c>
      <c r="R296" s="188">
        <f>P296*0.001</f>
        <v>2.0000000000000001E-4</v>
      </c>
      <c r="S296" s="188"/>
      <c r="T296" s="188"/>
      <c r="U296" s="188"/>
    </row>
    <row r="297" spans="1:21">
      <c r="A297" s="88" t="s">
        <v>76</v>
      </c>
      <c r="B297" s="188">
        <f>R297</f>
        <v>4.7000000000000002E-3</v>
      </c>
      <c r="C297" s="188" t="s">
        <v>42</v>
      </c>
      <c r="D297" s="188" t="s">
        <v>40</v>
      </c>
      <c r="E297" s="188" t="s">
        <v>29</v>
      </c>
      <c r="F297" s="37" t="s">
        <v>74</v>
      </c>
      <c r="G297" s="188" t="s">
        <v>33</v>
      </c>
      <c r="H297" s="188">
        <v>2</v>
      </c>
      <c r="I297" s="188">
        <f t="shared" ref="I297" si="24">LN(B297)</f>
        <v>-5.3601927702661243</v>
      </c>
      <c r="J297" s="188">
        <v>7.2284161474004766E-2</v>
      </c>
      <c r="K297" s="188" t="s">
        <v>31</v>
      </c>
      <c r="L297" s="188" t="s">
        <v>31</v>
      </c>
      <c r="M297" s="188" t="s">
        <v>31</v>
      </c>
      <c r="N297" s="188"/>
      <c r="O297" s="418" t="s">
        <v>863</v>
      </c>
      <c r="P297" s="142">
        <v>4.7</v>
      </c>
      <c r="Q297" s="188" t="s">
        <v>251</v>
      </c>
      <c r="R297" s="188">
        <f>P297*0.001</f>
        <v>4.7000000000000002E-3</v>
      </c>
      <c r="S297" s="188"/>
      <c r="T297" s="188"/>
      <c r="U297" s="188"/>
    </row>
    <row r="298" spans="1:21" s="70" customFormat="1">
      <c r="A298" s="370" t="s">
        <v>5</v>
      </c>
      <c r="B298" s="371" t="s">
        <v>1209</v>
      </c>
      <c r="C298" s="353"/>
      <c r="D298" s="353"/>
      <c r="E298" s="353"/>
      <c r="F298" s="353"/>
      <c r="G298" s="353"/>
      <c r="H298" s="353"/>
      <c r="I298" s="353"/>
      <c r="J298" s="353"/>
      <c r="K298" s="353"/>
      <c r="L298" s="353"/>
      <c r="M298" s="353"/>
      <c r="N298" s="353"/>
      <c r="O298" s="353"/>
      <c r="P298" s="353"/>
      <c r="Q298" s="353"/>
      <c r="R298" s="353"/>
      <c r="S298" s="353"/>
      <c r="T298" s="353"/>
      <c r="U298" s="353"/>
    </row>
    <row r="299" spans="1:21">
      <c r="A299" s="346" t="s">
        <v>7</v>
      </c>
      <c r="B299" s="188" t="s">
        <v>786</v>
      </c>
      <c r="C299" s="345"/>
      <c r="D299" s="188"/>
      <c r="E299" s="188"/>
      <c r="F299" s="188"/>
      <c r="G299" s="188"/>
      <c r="H299" s="188"/>
      <c r="I299" s="188"/>
      <c r="J299" s="188"/>
      <c r="K299" s="188"/>
      <c r="L299" s="188"/>
      <c r="M299" s="188"/>
      <c r="N299" s="188"/>
      <c r="O299" s="188"/>
      <c r="P299" s="188"/>
      <c r="Q299" s="188"/>
      <c r="R299" s="188"/>
      <c r="S299" s="188"/>
      <c r="T299" s="188"/>
      <c r="U299" s="188"/>
    </row>
    <row r="300" spans="1:21">
      <c r="A300" s="424" t="s">
        <v>9</v>
      </c>
      <c r="B300" s="188" t="s">
        <v>1210</v>
      </c>
      <c r="C300" s="345"/>
      <c r="D300" s="188"/>
      <c r="E300" s="188"/>
      <c r="F300" s="188"/>
      <c r="G300" s="188"/>
      <c r="H300" s="188"/>
      <c r="I300" s="188"/>
      <c r="J300" s="188"/>
      <c r="K300" s="188"/>
      <c r="L300" s="188"/>
      <c r="M300" s="188"/>
      <c r="N300" s="188"/>
      <c r="O300" s="188"/>
      <c r="P300" s="188"/>
      <c r="Q300" s="188"/>
      <c r="R300" s="188"/>
      <c r="S300" s="188"/>
      <c r="T300" s="188"/>
      <c r="U300" s="188"/>
    </row>
    <row r="301" spans="1:21" ht="15.75" customHeight="1">
      <c r="A301" s="346" t="s">
        <v>11</v>
      </c>
      <c r="B301" s="347" t="s">
        <v>796</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46" t="s">
        <v>13</v>
      </c>
      <c r="B302" s="188" t="s">
        <v>14</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46" t="s">
        <v>15</v>
      </c>
      <c r="B303" s="415">
        <f>B308</f>
        <v>1.2E-2</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46" t="s">
        <v>16</v>
      </c>
      <c r="B304" s="188" t="s">
        <v>17</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46" t="s">
        <v>18</v>
      </c>
      <c r="B305" s="188" t="s">
        <v>609</v>
      </c>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43" t="s">
        <v>19</v>
      </c>
      <c r="B306" s="188"/>
      <c r="C306" s="188"/>
      <c r="D306" s="188"/>
      <c r="E306" s="188"/>
      <c r="F306" s="188"/>
      <c r="G306" s="188"/>
      <c r="H306" s="188"/>
      <c r="I306" s="188"/>
      <c r="J306" s="188"/>
      <c r="K306" s="188"/>
      <c r="L306" s="188"/>
      <c r="M306" s="188"/>
      <c r="N306" s="188"/>
      <c r="O306" s="188"/>
      <c r="P306" s="188"/>
      <c r="Q306" s="188"/>
      <c r="R306" s="188"/>
      <c r="S306" s="188"/>
      <c r="T306" s="188"/>
      <c r="U306" s="188"/>
    </row>
    <row r="307" spans="1:21">
      <c r="A307" s="344" t="s">
        <v>20</v>
      </c>
      <c r="B307" s="344" t="s">
        <v>21</v>
      </c>
      <c r="C307" s="344" t="s">
        <v>18</v>
      </c>
      <c r="D307" s="344" t="s">
        <v>22</v>
      </c>
      <c r="E307" s="344" t="s">
        <v>7</v>
      </c>
      <c r="F307" s="344" t="s">
        <v>13</v>
      </c>
      <c r="G307" s="344" t="s">
        <v>16</v>
      </c>
      <c r="H307" s="344" t="s">
        <v>23</v>
      </c>
      <c r="I307" s="344" t="s">
        <v>24</v>
      </c>
      <c r="J307" s="344" t="s">
        <v>25</v>
      </c>
      <c r="K307" s="344" t="s">
        <v>26</v>
      </c>
      <c r="L307" s="344" t="s">
        <v>27</v>
      </c>
      <c r="M307" s="344" t="s">
        <v>28</v>
      </c>
      <c r="N307" s="344" t="s">
        <v>11</v>
      </c>
      <c r="O307" s="188"/>
      <c r="P307" s="188"/>
      <c r="Q307" s="188"/>
      <c r="R307" s="188"/>
      <c r="S307" s="188"/>
      <c r="T307" s="415"/>
      <c r="U307" s="188"/>
    </row>
    <row r="308" spans="1:21">
      <c r="A308" s="188" t="s">
        <v>1209</v>
      </c>
      <c r="B308" s="415">
        <f t="shared" ref="B308:B318" si="25">P308</f>
        <v>1.2E-2</v>
      </c>
      <c r="C308" s="188" t="s">
        <v>609</v>
      </c>
      <c r="D308" s="408" t="s">
        <v>2</v>
      </c>
      <c r="E308" s="188" t="s">
        <v>29</v>
      </c>
      <c r="F308" s="188" t="s">
        <v>14</v>
      </c>
      <c r="G308" s="188" t="s">
        <v>30</v>
      </c>
      <c r="H308" s="188">
        <v>1</v>
      </c>
      <c r="I308" s="415">
        <f>B308</f>
        <v>1.2E-2</v>
      </c>
      <c r="J308" s="188" t="s">
        <v>31</v>
      </c>
      <c r="K308" s="188" t="s">
        <v>31</v>
      </c>
      <c r="L308" s="188" t="s">
        <v>31</v>
      </c>
      <c r="M308" s="188" t="s">
        <v>31</v>
      </c>
      <c r="N308" s="188"/>
      <c r="O308" s="188"/>
      <c r="P308" s="469">
        <v>1.2E-2</v>
      </c>
      <c r="Q308" s="188"/>
      <c r="R308" s="188"/>
      <c r="S308" s="188"/>
      <c r="T308" s="188"/>
      <c r="U308" s="188"/>
    </row>
    <row r="309" spans="1:21">
      <c r="A309" s="188" t="s">
        <v>1211</v>
      </c>
      <c r="B309" s="415">
        <f t="shared" si="25"/>
        <v>1.2E-2</v>
      </c>
      <c r="C309" s="188" t="s">
        <v>609</v>
      </c>
      <c r="D309" s="408" t="s">
        <v>2</v>
      </c>
      <c r="E309" s="188" t="s">
        <v>29</v>
      </c>
      <c r="F309" s="188" t="s">
        <v>14</v>
      </c>
      <c r="G309" s="188" t="s">
        <v>33</v>
      </c>
      <c r="H309" s="188">
        <v>1</v>
      </c>
      <c r="I309" s="415">
        <f>B309</f>
        <v>1.2E-2</v>
      </c>
      <c r="J309" s="188" t="s">
        <v>31</v>
      </c>
      <c r="K309" s="188" t="s">
        <v>31</v>
      </c>
      <c r="L309" s="188" t="s">
        <v>31</v>
      </c>
      <c r="M309" s="188" t="s">
        <v>31</v>
      </c>
      <c r="N309" s="188"/>
      <c r="O309" s="188"/>
      <c r="P309" s="469">
        <v>1.2E-2</v>
      </c>
      <c r="Q309" s="188"/>
      <c r="R309" s="188"/>
      <c r="S309" s="188"/>
      <c r="T309" s="188"/>
      <c r="U309" s="188"/>
    </row>
    <row r="310" spans="1:21">
      <c r="A310" s="346" t="s">
        <v>269</v>
      </c>
      <c r="B310" s="350">
        <f t="shared" si="25"/>
        <v>0.16</v>
      </c>
      <c r="C310" s="188" t="s">
        <v>39</v>
      </c>
      <c r="D310" s="188" t="s">
        <v>40</v>
      </c>
      <c r="E310" s="188" t="s">
        <v>29</v>
      </c>
      <c r="F310" s="37" t="s">
        <v>35</v>
      </c>
      <c r="G310" s="188" t="s">
        <v>33</v>
      </c>
      <c r="H310" s="188">
        <v>2</v>
      </c>
      <c r="I310" s="188">
        <f t="shared" ref="I310" si="26">LN(B310)</f>
        <v>-1.8325814637483102</v>
      </c>
      <c r="J310" s="188">
        <v>0.22500000000000006</v>
      </c>
      <c r="K310" s="188" t="s">
        <v>31</v>
      </c>
      <c r="L310" s="188" t="s">
        <v>31</v>
      </c>
      <c r="M310" s="188" t="s">
        <v>31</v>
      </c>
      <c r="N310" s="188"/>
      <c r="O310" s="401" t="s">
        <v>248</v>
      </c>
      <c r="P310" s="414">
        <v>0.16</v>
      </c>
      <c r="Q310" s="188"/>
      <c r="R310" s="188"/>
      <c r="S310" s="188"/>
      <c r="T310" s="188"/>
      <c r="U310" s="188"/>
    </row>
    <row r="311" spans="1:21">
      <c r="A311" s="88" t="s">
        <v>680</v>
      </c>
      <c r="B311" s="415">
        <f t="shared" si="25"/>
        <v>7.1999999999999998E-3</v>
      </c>
      <c r="C311" s="188" t="s">
        <v>37</v>
      </c>
      <c r="D311" s="188" t="s">
        <v>40</v>
      </c>
      <c r="E311" s="188" t="s">
        <v>29</v>
      </c>
      <c r="F311" s="188" t="s">
        <v>35</v>
      </c>
      <c r="G311" s="188" t="s">
        <v>33</v>
      </c>
      <c r="H311" s="188">
        <v>2</v>
      </c>
      <c r="I311" s="188">
        <f>LN(B311)</f>
        <v>-4.9336742529601274</v>
      </c>
      <c r="J311" s="188">
        <v>0.22500000000000006</v>
      </c>
      <c r="K311" s="188" t="s">
        <v>31</v>
      </c>
      <c r="L311" s="188" t="s">
        <v>31</v>
      </c>
      <c r="M311" s="188" t="s">
        <v>31</v>
      </c>
      <c r="N311" s="188"/>
      <c r="O311" s="401" t="s">
        <v>241</v>
      </c>
      <c r="P311" s="452">
        <v>7.1999999999999998E-3</v>
      </c>
      <c r="Q311" s="188"/>
      <c r="R311" s="188"/>
      <c r="S311" s="188"/>
      <c r="T311" s="188"/>
      <c r="U311" s="188"/>
    </row>
    <row r="312" spans="1:21">
      <c r="A312" s="188" t="s">
        <v>957</v>
      </c>
      <c r="B312" s="415">
        <f t="shared" si="25"/>
        <v>1.55E-2</v>
      </c>
      <c r="C312" s="188" t="s">
        <v>37</v>
      </c>
      <c r="D312" s="188" t="s">
        <v>40</v>
      </c>
      <c r="E312" s="188" t="s">
        <v>29</v>
      </c>
      <c r="F312" s="188" t="s">
        <v>59</v>
      </c>
      <c r="G312" s="188" t="s">
        <v>33</v>
      </c>
      <c r="H312" s="188">
        <v>2</v>
      </c>
      <c r="I312" s="188">
        <f t="shared" ref="I312:I318" si="27">LN(B312)</f>
        <v>-4.1669152550569359</v>
      </c>
      <c r="J312" s="188">
        <v>0.22500000000000006</v>
      </c>
      <c r="K312" s="188" t="s">
        <v>31</v>
      </c>
      <c r="L312" s="188" t="s">
        <v>31</v>
      </c>
      <c r="M312" s="188" t="s">
        <v>31</v>
      </c>
      <c r="N312" s="188"/>
      <c r="O312" s="401" t="s">
        <v>241</v>
      </c>
      <c r="P312" s="452">
        <v>1.55E-2</v>
      </c>
      <c r="Q312" s="188"/>
      <c r="R312" s="188"/>
      <c r="S312" s="188"/>
      <c r="T312" s="188"/>
      <c r="U312" s="188"/>
    </row>
    <row r="313" spans="1:21">
      <c r="A313" s="88" t="s">
        <v>545</v>
      </c>
      <c r="B313" s="415">
        <f t="shared" si="25"/>
        <v>7.1999999999999998E-3</v>
      </c>
      <c r="C313" s="188" t="s">
        <v>37</v>
      </c>
      <c r="D313" s="188" t="s">
        <v>40</v>
      </c>
      <c r="E313" s="188" t="s">
        <v>29</v>
      </c>
      <c r="F313" s="188" t="s">
        <v>35</v>
      </c>
      <c r="G313" s="188" t="s">
        <v>33</v>
      </c>
      <c r="H313" s="188">
        <v>2</v>
      </c>
      <c r="I313" s="188">
        <f t="shared" si="27"/>
        <v>-4.9336742529601274</v>
      </c>
      <c r="J313" s="188">
        <v>0.22500000000000006</v>
      </c>
      <c r="K313" s="188" t="s">
        <v>31</v>
      </c>
      <c r="L313" s="188" t="s">
        <v>31</v>
      </c>
      <c r="M313" s="188" t="s">
        <v>31</v>
      </c>
      <c r="N313" s="188"/>
      <c r="O313" s="401" t="s">
        <v>241</v>
      </c>
      <c r="P313" s="452">
        <v>7.1999999999999998E-3</v>
      </c>
      <c r="Q313" s="188"/>
      <c r="R313" s="188"/>
      <c r="S313" s="188"/>
      <c r="T313" s="188"/>
      <c r="U313" s="188"/>
    </row>
    <row r="314" spans="1:21">
      <c r="A314" s="88" t="s">
        <v>958</v>
      </c>
      <c r="B314" s="415">
        <f t="shared" si="25"/>
        <v>5.4000000000000003E-3</v>
      </c>
      <c r="C314" s="188" t="s">
        <v>37</v>
      </c>
      <c r="D314" s="188" t="s">
        <v>40</v>
      </c>
      <c r="E314" s="188" t="s">
        <v>29</v>
      </c>
      <c r="F314" s="188" t="s">
        <v>59</v>
      </c>
      <c r="G314" s="188" t="s">
        <v>33</v>
      </c>
      <c r="H314" s="188">
        <v>2</v>
      </c>
      <c r="I314" s="188">
        <f t="shared" si="27"/>
        <v>-5.2213563254119082</v>
      </c>
      <c r="J314" s="188">
        <v>0.22500000000000006</v>
      </c>
      <c r="K314" s="188" t="s">
        <v>31</v>
      </c>
      <c r="L314" s="188" t="s">
        <v>31</v>
      </c>
      <c r="M314" s="188" t="s">
        <v>31</v>
      </c>
      <c r="N314" s="188"/>
      <c r="O314" s="401" t="s">
        <v>241</v>
      </c>
      <c r="P314" s="452">
        <v>5.4000000000000003E-3</v>
      </c>
      <c r="Q314" s="188"/>
      <c r="R314" s="188"/>
      <c r="S314" s="188"/>
      <c r="T314" s="188"/>
      <c r="U314" s="188"/>
    </row>
    <row r="315" spans="1:21">
      <c r="A315" s="88" t="s">
        <v>193</v>
      </c>
      <c r="B315" s="415">
        <f t="shared" si="25"/>
        <v>1.55E-2</v>
      </c>
      <c r="C315" s="188" t="s">
        <v>37</v>
      </c>
      <c r="D315" s="188" t="s">
        <v>40</v>
      </c>
      <c r="E315" s="188" t="s">
        <v>29</v>
      </c>
      <c r="F315" s="188" t="s">
        <v>59</v>
      </c>
      <c r="G315" s="188" t="s">
        <v>33</v>
      </c>
      <c r="H315" s="188">
        <v>2</v>
      </c>
      <c r="I315" s="188">
        <f t="shared" si="27"/>
        <v>-4.1669152550569359</v>
      </c>
      <c r="J315" s="188">
        <v>0.22500000000000006</v>
      </c>
      <c r="K315" s="188" t="s">
        <v>31</v>
      </c>
      <c r="L315" s="188" t="s">
        <v>31</v>
      </c>
      <c r="M315" s="188" t="s">
        <v>31</v>
      </c>
      <c r="N315" s="188"/>
      <c r="O315" s="401" t="s">
        <v>241</v>
      </c>
      <c r="P315" s="452">
        <v>1.55E-2</v>
      </c>
      <c r="Q315" s="188"/>
      <c r="R315" s="188"/>
      <c r="S315" s="188"/>
      <c r="T315" s="188"/>
      <c r="U315" s="188"/>
    </row>
    <row r="316" spans="1:21">
      <c r="A316" s="346" t="s">
        <v>799</v>
      </c>
      <c r="B316" s="415">
        <f t="shared" si="25"/>
        <v>0.28599999999999998</v>
      </c>
      <c r="C316" s="188" t="s">
        <v>37</v>
      </c>
      <c r="D316" s="188" t="s">
        <v>40</v>
      </c>
      <c r="E316" s="188" t="s">
        <v>29</v>
      </c>
      <c r="F316" s="37" t="s">
        <v>74</v>
      </c>
      <c r="G316" s="188" t="s">
        <v>33</v>
      </c>
      <c r="H316" s="188">
        <v>2</v>
      </c>
      <c r="I316" s="188">
        <f t="shared" si="27"/>
        <v>-1.2517634681622845</v>
      </c>
      <c r="J316" s="188">
        <v>0.22500000000000006</v>
      </c>
      <c r="K316" s="188" t="s">
        <v>31</v>
      </c>
      <c r="L316" s="188" t="s">
        <v>31</v>
      </c>
      <c r="M316" s="188" t="s">
        <v>31</v>
      </c>
      <c r="N316" s="188"/>
      <c r="O316" s="401" t="s">
        <v>241</v>
      </c>
      <c r="P316" s="452">
        <v>0.28599999999999998</v>
      </c>
      <c r="Q316" s="188"/>
      <c r="R316" s="188"/>
      <c r="S316" s="188"/>
      <c r="T316" s="188"/>
      <c r="U316" s="188"/>
    </row>
    <row r="317" spans="1:21">
      <c r="A317" s="88" t="s">
        <v>758</v>
      </c>
      <c r="B317" s="415">
        <f t="shared" si="25"/>
        <v>2.7000000000000001E-3</v>
      </c>
      <c r="C317" s="188" t="s">
        <v>37</v>
      </c>
      <c r="D317" s="188" t="s">
        <v>43</v>
      </c>
      <c r="E317" s="188" t="s">
        <v>44</v>
      </c>
      <c r="F317" s="188" t="s">
        <v>29</v>
      </c>
      <c r="G317" s="188" t="s">
        <v>45</v>
      </c>
      <c r="H317" s="188">
        <v>2</v>
      </c>
      <c r="I317" s="188">
        <f t="shared" si="27"/>
        <v>-5.9145035059718536</v>
      </c>
      <c r="J317" s="188">
        <v>0.22500000000000006</v>
      </c>
      <c r="K317" s="188" t="s">
        <v>31</v>
      </c>
      <c r="L317" s="188" t="s">
        <v>31</v>
      </c>
      <c r="M317" s="188" t="s">
        <v>31</v>
      </c>
      <c r="N317" s="188"/>
      <c r="O317" s="416" t="s">
        <v>241</v>
      </c>
      <c r="P317" s="417">
        <v>2.7000000000000001E-3</v>
      </c>
      <c r="Q317" s="188"/>
      <c r="R317" s="188"/>
      <c r="S317" s="188"/>
      <c r="T317" s="188"/>
      <c r="U317" s="188"/>
    </row>
    <row r="318" spans="1:21">
      <c r="A318" s="188" t="s">
        <v>784</v>
      </c>
      <c r="B318" s="415">
        <f t="shared" si="25"/>
        <v>5.0999999999999997E-2</v>
      </c>
      <c r="C318" s="188" t="s">
        <v>37</v>
      </c>
      <c r="D318" s="408" t="s">
        <v>2</v>
      </c>
      <c r="E318" s="188" t="s">
        <v>29</v>
      </c>
      <c r="F318" s="37" t="s">
        <v>74</v>
      </c>
      <c r="G318" s="188" t="s">
        <v>33</v>
      </c>
      <c r="H318" s="188">
        <v>2</v>
      </c>
      <c r="I318" s="188">
        <f t="shared" si="27"/>
        <v>-2.9759296462578115</v>
      </c>
      <c r="J318" s="188">
        <v>0.22500000000000006</v>
      </c>
      <c r="K318" s="188" t="s">
        <v>31</v>
      </c>
      <c r="L318" s="188" t="s">
        <v>31</v>
      </c>
      <c r="M318" s="188" t="s">
        <v>31</v>
      </c>
      <c r="N318" s="188"/>
      <c r="O318" s="418" t="s">
        <v>241</v>
      </c>
      <c r="P318" s="453">
        <v>5.0999999999999997E-2</v>
      </c>
      <c r="Q318" s="188"/>
      <c r="R318" s="188"/>
      <c r="S318" s="188"/>
      <c r="T318" s="188"/>
      <c r="U318" s="188"/>
    </row>
    <row r="319" spans="1:21" s="70" customFormat="1">
      <c r="A319" s="370" t="s">
        <v>5</v>
      </c>
      <c r="B319" s="371" t="s">
        <v>1211</v>
      </c>
      <c r="C319" s="353"/>
      <c r="D319" s="353"/>
      <c r="E319" s="353"/>
      <c r="F319" s="353"/>
      <c r="G319" s="353"/>
      <c r="H319" s="353"/>
      <c r="I319" s="353"/>
      <c r="J319" s="353"/>
      <c r="K319" s="353"/>
      <c r="L319" s="353"/>
      <c r="M319" s="353"/>
      <c r="N319" s="353"/>
      <c r="O319" s="353"/>
      <c r="P319" s="353"/>
      <c r="Q319" s="353"/>
      <c r="R319" s="353"/>
      <c r="S319" s="353"/>
      <c r="T319" s="353"/>
      <c r="U319" s="353"/>
    </row>
    <row r="320" spans="1:21">
      <c r="A320" s="346" t="s">
        <v>7</v>
      </c>
      <c r="B320" s="188" t="s">
        <v>786</v>
      </c>
      <c r="C320" s="345"/>
      <c r="D320" s="188"/>
      <c r="E320" s="188"/>
      <c r="F320" s="188"/>
      <c r="G320" s="188"/>
      <c r="H320" s="188"/>
      <c r="I320" s="188"/>
      <c r="J320" s="188"/>
      <c r="K320" s="188"/>
      <c r="L320" s="188"/>
      <c r="M320" s="188"/>
      <c r="N320" s="188"/>
      <c r="O320" s="188"/>
      <c r="P320" s="188"/>
      <c r="Q320" s="188"/>
      <c r="R320" s="188"/>
      <c r="S320" s="188"/>
      <c r="T320" s="188"/>
      <c r="U320" s="188"/>
    </row>
    <row r="321" spans="1:21">
      <c r="A321" s="424" t="s">
        <v>9</v>
      </c>
      <c r="B321" s="188" t="s">
        <v>1212</v>
      </c>
      <c r="C321" s="345"/>
      <c r="D321" s="188"/>
      <c r="E321" s="188"/>
      <c r="F321" s="188"/>
      <c r="G321" s="188"/>
      <c r="H321" s="188"/>
      <c r="I321" s="188"/>
      <c r="J321" s="188"/>
      <c r="K321" s="188"/>
      <c r="L321" s="188"/>
      <c r="M321" s="188"/>
      <c r="N321" s="188"/>
      <c r="O321" s="188"/>
      <c r="P321" s="188"/>
      <c r="Q321" s="188"/>
      <c r="R321" s="188"/>
      <c r="S321" s="188"/>
      <c r="T321" s="188"/>
      <c r="U321" s="188"/>
    </row>
    <row r="322" spans="1:21" ht="15.75" customHeight="1">
      <c r="A322" s="346" t="s">
        <v>11</v>
      </c>
      <c r="B322" s="347" t="s">
        <v>796</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46" t="s">
        <v>13</v>
      </c>
      <c r="B323" s="188" t="s">
        <v>14</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46" t="s">
        <v>15</v>
      </c>
      <c r="B324" s="415">
        <f>B329</f>
        <v>1.2E-2</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46" t="s">
        <v>16</v>
      </c>
      <c r="B325" s="188" t="s">
        <v>17</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46" t="s">
        <v>18</v>
      </c>
      <c r="B326" s="188" t="s">
        <v>609</v>
      </c>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43" t="s">
        <v>19</v>
      </c>
      <c r="B327" s="188"/>
      <c r="C327" s="188"/>
      <c r="D327" s="188"/>
      <c r="E327" s="188"/>
      <c r="F327" s="188"/>
      <c r="G327" s="188"/>
      <c r="H327" s="188"/>
      <c r="I327" s="188"/>
      <c r="J327" s="188"/>
      <c r="K327" s="188"/>
      <c r="L327" s="188"/>
      <c r="M327" s="188"/>
      <c r="N327" s="188"/>
      <c r="O327" s="188"/>
      <c r="P327" s="188"/>
      <c r="Q327" s="188"/>
      <c r="R327" s="188"/>
      <c r="S327" s="188"/>
      <c r="T327" s="188"/>
      <c r="U327" s="188"/>
    </row>
    <row r="328" spans="1:21">
      <c r="A328" s="344" t="s">
        <v>20</v>
      </c>
      <c r="B328" s="344" t="s">
        <v>21</v>
      </c>
      <c r="C328" s="344" t="s">
        <v>18</v>
      </c>
      <c r="D328" s="344" t="s">
        <v>22</v>
      </c>
      <c r="E328" s="344" t="s">
        <v>7</v>
      </c>
      <c r="F328" s="344" t="s">
        <v>13</v>
      </c>
      <c r="G328" s="344" t="s">
        <v>16</v>
      </c>
      <c r="H328" s="344" t="s">
        <v>23</v>
      </c>
      <c r="I328" s="344" t="s">
        <v>24</v>
      </c>
      <c r="J328" s="344" t="s">
        <v>25</v>
      </c>
      <c r="K328" s="344" t="s">
        <v>26</v>
      </c>
      <c r="L328" s="344" t="s">
        <v>27</v>
      </c>
      <c r="M328" s="344" t="s">
        <v>28</v>
      </c>
      <c r="N328" s="344" t="s">
        <v>11</v>
      </c>
      <c r="O328" s="188"/>
      <c r="P328" s="188"/>
      <c r="Q328" s="188"/>
      <c r="R328" s="188"/>
      <c r="S328" s="188"/>
      <c r="T328" s="415"/>
      <c r="U328" s="188"/>
    </row>
    <row r="329" spans="1:21">
      <c r="A329" s="188" t="s">
        <v>1211</v>
      </c>
      <c r="B329" s="415">
        <f>P330</f>
        <v>1.2E-2</v>
      </c>
      <c r="C329" s="188" t="s">
        <v>609</v>
      </c>
      <c r="D329" s="408" t="s">
        <v>2</v>
      </c>
      <c r="E329" s="188" t="s">
        <v>29</v>
      </c>
      <c r="F329" s="188" t="s">
        <v>14</v>
      </c>
      <c r="G329" s="188" t="s">
        <v>30</v>
      </c>
      <c r="H329" s="188">
        <v>1</v>
      </c>
      <c r="I329" s="415">
        <f>B329</f>
        <v>1.2E-2</v>
      </c>
      <c r="J329" s="188" t="s">
        <v>31</v>
      </c>
      <c r="K329" s="188" t="s">
        <v>31</v>
      </c>
      <c r="L329" s="188" t="s">
        <v>31</v>
      </c>
      <c r="M329" s="188" t="s">
        <v>31</v>
      </c>
      <c r="N329" s="188"/>
      <c r="O329" s="188"/>
      <c r="P329" s="188"/>
      <c r="Q329" s="188"/>
      <c r="R329" s="188"/>
      <c r="S329" s="188"/>
      <c r="T329" s="188"/>
      <c r="U329" s="188"/>
    </row>
    <row r="330" spans="1:21">
      <c r="A330" s="192" t="s">
        <v>1213</v>
      </c>
      <c r="B330" s="415">
        <f>P330</f>
        <v>1.2E-2</v>
      </c>
      <c r="C330" s="188" t="s">
        <v>609</v>
      </c>
      <c r="D330" s="408" t="s">
        <v>2</v>
      </c>
      <c r="E330" s="188" t="s">
        <v>29</v>
      </c>
      <c r="F330" s="188" t="s">
        <v>14</v>
      </c>
      <c r="G330" s="188" t="s">
        <v>33</v>
      </c>
      <c r="H330" s="188">
        <v>1</v>
      </c>
      <c r="I330" s="415">
        <f>B330</f>
        <v>1.2E-2</v>
      </c>
      <c r="J330" s="188">
        <v>2.8722813232690055E-2</v>
      </c>
      <c r="K330" s="188" t="s">
        <v>31</v>
      </c>
      <c r="L330" s="188" t="s">
        <v>31</v>
      </c>
      <c r="M330" s="188" t="s">
        <v>31</v>
      </c>
      <c r="N330" s="188"/>
      <c r="O330" s="396" t="s">
        <v>823</v>
      </c>
      <c r="P330" s="454">
        <v>1.2E-2</v>
      </c>
      <c r="Q330" s="188"/>
      <c r="R330" s="188"/>
      <c r="S330" s="188"/>
      <c r="T330" s="188"/>
      <c r="U330" s="188"/>
    </row>
    <row r="331" spans="1:21">
      <c r="A331" s="192" t="s">
        <v>1156</v>
      </c>
      <c r="B331" s="188">
        <f>R331</f>
        <v>0.124</v>
      </c>
      <c r="C331" s="188" t="s">
        <v>241</v>
      </c>
      <c r="D331" s="408" t="s">
        <v>2</v>
      </c>
      <c r="E331" s="188" t="s">
        <v>29</v>
      </c>
      <c r="F331" s="188" t="s">
        <v>14</v>
      </c>
      <c r="G331" s="188" t="s">
        <v>33</v>
      </c>
      <c r="H331" s="188">
        <v>1</v>
      </c>
      <c r="I331" s="415">
        <f>B331</f>
        <v>0.124</v>
      </c>
      <c r="J331" s="188">
        <v>2.8722813232690055E-2</v>
      </c>
      <c r="K331" s="188" t="s">
        <v>31</v>
      </c>
      <c r="L331" s="188" t="s">
        <v>31</v>
      </c>
      <c r="M331" s="188" t="s">
        <v>31</v>
      </c>
      <c r="N331" s="188"/>
      <c r="O331" s="396" t="s">
        <v>580</v>
      </c>
      <c r="P331" s="455">
        <v>124</v>
      </c>
      <c r="Q331" s="188" t="s">
        <v>241</v>
      </c>
      <c r="R331" s="188">
        <f>P331*0.001</f>
        <v>0.124</v>
      </c>
      <c r="S331" s="188"/>
      <c r="T331" s="188"/>
      <c r="U331" s="188"/>
    </row>
    <row r="332" spans="1:21">
      <c r="A332" s="346" t="s">
        <v>269</v>
      </c>
      <c r="B332" s="350">
        <f>P332</f>
        <v>0.01</v>
      </c>
      <c r="C332" s="188" t="s">
        <v>39</v>
      </c>
      <c r="D332" s="188" t="s">
        <v>40</v>
      </c>
      <c r="E332" s="188" t="s">
        <v>29</v>
      </c>
      <c r="F332" s="37" t="s">
        <v>35</v>
      </c>
      <c r="G332" s="188" t="s">
        <v>33</v>
      </c>
      <c r="H332" s="188">
        <v>2</v>
      </c>
      <c r="I332" s="188">
        <f t="shared" ref="I332:I334" si="28">LN(B332)</f>
        <v>-4.6051701859880909</v>
      </c>
      <c r="J332" s="188">
        <v>0.20928449536456342</v>
      </c>
      <c r="K332" s="188" t="s">
        <v>31</v>
      </c>
      <c r="L332" s="188" t="s">
        <v>31</v>
      </c>
      <c r="M332" s="188" t="s">
        <v>31</v>
      </c>
      <c r="N332" s="188"/>
      <c r="O332" s="401" t="s">
        <v>248</v>
      </c>
      <c r="P332" s="151">
        <v>0.01</v>
      </c>
      <c r="Q332" s="188"/>
      <c r="R332" s="188"/>
      <c r="S332" s="188"/>
      <c r="T332" s="188"/>
      <c r="U332" s="188"/>
    </row>
    <row r="333" spans="1:21">
      <c r="A333" s="346" t="s">
        <v>269</v>
      </c>
      <c r="B333" s="350">
        <f>P333</f>
        <v>0.7</v>
      </c>
      <c r="C333" s="188" t="s">
        <v>39</v>
      </c>
      <c r="D333" s="188" t="s">
        <v>40</v>
      </c>
      <c r="E333" s="188" t="s">
        <v>29</v>
      </c>
      <c r="F333" s="37" t="s">
        <v>35</v>
      </c>
      <c r="G333" s="188" t="s">
        <v>33</v>
      </c>
      <c r="H333" s="188">
        <v>2</v>
      </c>
      <c r="I333" s="188">
        <f t="shared" si="28"/>
        <v>-0.35667494393873245</v>
      </c>
      <c r="J333" s="188">
        <v>0.20928449536456342</v>
      </c>
      <c r="K333" s="188" t="s">
        <v>31</v>
      </c>
      <c r="L333" s="188" t="s">
        <v>31</v>
      </c>
      <c r="M333" s="188" t="s">
        <v>31</v>
      </c>
      <c r="N333" s="188"/>
      <c r="O333" s="401" t="s">
        <v>248</v>
      </c>
      <c r="P333" s="138">
        <v>0.7</v>
      </c>
      <c r="Q333" s="188"/>
      <c r="R333" s="188"/>
      <c r="S333" s="188"/>
      <c r="T333" s="188"/>
      <c r="U333" s="188"/>
    </row>
    <row r="334" spans="1:21">
      <c r="A334" s="346" t="s">
        <v>269</v>
      </c>
      <c r="B334" s="350">
        <f>P334</f>
        <v>0.18</v>
      </c>
      <c r="C334" s="188" t="s">
        <v>39</v>
      </c>
      <c r="D334" s="188" t="s">
        <v>40</v>
      </c>
      <c r="E334" s="188" t="s">
        <v>29</v>
      </c>
      <c r="F334" s="37" t="s">
        <v>35</v>
      </c>
      <c r="G334" s="188" t="s">
        <v>33</v>
      </c>
      <c r="H334" s="188">
        <v>2</v>
      </c>
      <c r="I334" s="188">
        <f t="shared" si="28"/>
        <v>-1.7147984280919266</v>
      </c>
      <c r="J334" s="188">
        <v>9.6436507609929598E-2</v>
      </c>
      <c r="K334" s="188" t="s">
        <v>31</v>
      </c>
      <c r="L334" s="188" t="s">
        <v>31</v>
      </c>
      <c r="M334" s="188" t="s">
        <v>31</v>
      </c>
      <c r="N334" s="188"/>
      <c r="O334" s="401" t="s">
        <v>248</v>
      </c>
      <c r="P334" s="138">
        <v>0.18</v>
      </c>
      <c r="Q334" s="188"/>
      <c r="R334" s="188"/>
      <c r="S334" s="188"/>
      <c r="T334" s="188"/>
      <c r="U334" s="188"/>
    </row>
    <row r="335" spans="1:21">
      <c r="A335" s="88" t="s">
        <v>680</v>
      </c>
      <c r="B335" s="415">
        <f>R335</f>
        <v>1E-3</v>
      </c>
      <c r="C335" s="188" t="s">
        <v>37</v>
      </c>
      <c r="D335" s="188" t="s">
        <v>40</v>
      </c>
      <c r="E335" s="188" t="s">
        <v>29</v>
      </c>
      <c r="F335" s="188" t="s">
        <v>35</v>
      </c>
      <c r="G335" s="188" t="s">
        <v>33</v>
      </c>
      <c r="H335" s="188">
        <v>2</v>
      </c>
      <c r="I335" s="188">
        <f>LN(B335)</f>
        <v>-6.9077552789821368</v>
      </c>
      <c r="J335" s="188">
        <v>0.20928449536456342</v>
      </c>
      <c r="K335" s="188" t="s">
        <v>31</v>
      </c>
      <c r="L335" s="188" t="s">
        <v>31</v>
      </c>
      <c r="M335" s="188" t="s">
        <v>31</v>
      </c>
      <c r="N335" s="188"/>
      <c r="O335" s="401" t="s">
        <v>580</v>
      </c>
      <c r="P335" s="138">
        <v>1</v>
      </c>
      <c r="Q335" s="188" t="s">
        <v>241</v>
      </c>
      <c r="R335" s="188">
        <f>P335*0.001</f>
        <v>1E-3</v>
      </c>
      <c r="S335" s="188"/>
      <c r="T335" s="188"/>
      <c r="U335" s="188"/>
    </row>
    <row r="336" spans="1:21">
      <c r="A336" s="346" t="s">
        <v>799</v>
      </c>
      <c r="B336" s="415">
        <f>P336</f>
        <v>0.01</v>
      </c>
      <c r="C336" s="188" t="s">
        <v>37</v>
      </c>
      <c r="D336" s="188" t="s">
        <v>40</v>
      </c>
      <c r="E336" s="188" t="s">
        <v>29</v>
      </c>
      <c r="F336" s="37" t="s">
        <v>74</v>
      </c>
      <c r="G336" s="188" t="s">
        <v>33</v>
      </c>
      <c r="H336" s="188">
        <v>2</v>
      </c>
      <c r="I336" s="188">
        <f>LN(B336)</f>
        <v>-4.6051701859880909</v>
      </c>
      <c r="J336" s="188">
        <v>0.20928449536456342</v>
      </c>
      <c r="K336" s="188" t="s">
        <v>31</v>
      </c>
      <c r="L336" s="188" t="s">
        <v>31</v>
      </c>
      <c r="M336" s="188" t="s">
        <v>31</v>
      </c>
      <c r="N336" s="188"/>
      <c r="O336" s="401" t="s">
        <v>241</v>
      </c>
      <c r="P336" s="151">
        <v>0.01</v>
      </c>
      <c r="Q336" s="188"/>
      <c r="R336" s="188"/>
      <c r="S336" s="188"/>
      <c r="T336" s="188"/>
      <c r="U336" s="188"/>
    </row>
    <row r="337" spans="1:21">
      <c r="A337" s="88" t="s">
        <v>300</v>
      </c>
      <c r="B337" s="441">
        <f>R337</f>
        <v>1.8000000000000002E-3</v>
      </c>
      <c r="C337" s="188" t="s">
        <v>37</v>
      </c>
      <c r="D337" s="188" t="s">
        <v>40</v>
      </c>
      <c r="E337" s="188" t="s">
        <v>29</v>
      </c>
      <c r="F337" s="37" t="s">
        <v>82</v>
      </c>
      <c r="G337" s="188" t="s">
        <v>33</v>
      </c>
      <c r="H337" s="188">
        <v>2</v>
      </c>
      <c r="I337" s="188">
        <f>LN(B337)</f>
        <v>-6.3199686140800182</v>
      </c>
      <c r="J337" s="188">
        <v>0.20928449536456342</v>
      </c>
      <c r="K337" s="188" t="s">
        <v>31</v>
      </c>
      <c r="L337" s="188" t="s">
        <v>31</v>
      </c>
      <c r="M337" s="188" t="s">
        <v>31</v>
      </c>
      <c r="N337" s="188"/>
      <c r="O337" s="401" t="s">
        <v>580</v>
      </c>
      <c r="P337" s="138">
        <v>1.8</v>
      </c>
      <c r="Q337" s="188" t="s">
        <v>241</v>
      </c>
      <c r="R337" s="188">
        <f>P337*0.001</f>
        <v>1.8000000000000002E-3</v>
      </c>
      <c r="S337" s="188"/>
      <c r="T337" s="188"/>
      <c r="U337" s="188"/>
    </row>
    <row r="338" spans="1:21">
      <c r="A338" s="88" t="s">
        <v>545</v>
      </c>
      <c r="B338" s="188">
        <f>R338</f>
        <v>3.0000000000000001E-3</v>
      </c>
      <c r="C338" s="188" t="s">
        <v>37</v>
      </c>
      <c r="D338" s="188" t="s">
        <v>40</v>
      </c>
      <c r="E338" s="188" t="s">
        <v>29</v>
      </c>
      <c r="F338" s="188" t="s">
        <v>35</v>
      </c>
      <c r="G338" s="188" t="s">
        <v>33</v>
      </c>
      <c r="H338" s="188">
        <v>2</v>
      </c>
      <c r="I338" s="188">
        <f>LN(B338)</f>
        <v>-5.8091429903140277</v>
      </c>
      <c r="J338" s="188">
        <v>0.20928449536456342</v>
      </c>
      <c r="K338" s="188" t="s">
        <v>31</v>
      </c>
      <c r="L338" s="188" t="s">
        <v>31</v>
      </c>
      <c r="M338" s="188" t="s">
        <v>31</v>
      </c>
      <c r="N338" s="188"/>
      <c r="O338" s="401" t="s">
        <v>580</v>
      </c>
      <c r="P338" s="138">
        <v>3</v>
      </c>
      <c r="Q338" s="188" t="s">
        <v>241</v>
      </c>
      <c r="R338" s="188">
        <f>P338*0.001</f>
        <v>3.0000000000000001E-3</v>
      </c>
      <c r="S338" s="188"/>
      <c r="T338" s="188"/>
      <c r="U338" s="188"/>
    </row>
    <row r="339" spans="1:21">
      <c r="A339" s="346" t="s">
        <v>202</v>
      </c>
      <c r="B339" s="188">
        <f>P339</f>
        <v>2.1</v>
      </c>
      <c r="C339" s="188" t="s">
        <v>37</v>
      </c>
      <c r="D339" s="188" t="s">
        <v>40</v>
      </c>
      <c r="E339" s="188" t="s">
        <v>29</v>
      </c>
      <c r="F339" s="37" t="s">
        <v>35</v>
      </c>
      <c r="G339" s="188" t="s">
        <v>33</v>
      </c>
      <c r="H339" s="188">
        <v>2</v>
      </c>
      <c r="I339" s="188">
        <f t="shared" ref="I339:I340" si="29">LN(B339)</f>
        <v>0.74193734472937733</v>
      </c>
      <c r="J339" s="188">
        <v>0.20928449536456342</v>
      </c>
      <c r="K339" s="188" t="s">
        <v>31</v>
      </c>
      <c r="L339" s="188" t="s">
        <v>31</v>
      </c>
      <c r="M339" s="188" t="s">
        <v>31</v>
      </c>
      <c r="N339" s="188"/>
      <c r="O339" s="401" t="s">
        <v>241</v>
      </c>
      <c r="P339" s="138">
        <v>2.1</v>
      </c>
      <c r="Q339" s="188"/>
      <c r="R339" s="188"/>
      <c r="S339" s="188"/>
      <c r="T339" s="188"/>
      <c r="U339" s="188"/>
    </row>
    <row r="340" spans="1:21">
      <c r="A340" s="188" t="s">
        <v>784</v>
      </c>
      <c r="B340" s="415">
        <f>P340</f>
        <v>6.0000000000000001E-3</v>
      </c>
      <c r="C340" s="188" t="s">
        <v>37</v>
      </c>
      <c r="D340" s="408" t="s">
        <v>2</v>
      </c>
      <c r="E340" s="188" t="s">
        <v>29</v>
      </c>
      <c r="F340" s="37" t="s">
        <v>74</v>
      </c>
      <c r="G340" s="188" t="s">
        <v>33</v>
      </c>
      <c r="H340" s="188">
        <v>2</v>
      </c>
      <c r="I340" s="188">
        <f t="shared" si="29"/>
        <v>-5.1159958097540823</v>
      </c>
      <c r="J340" s="188">
        <v>0.20928449536456342</v>
      </c>
      <c r="K340" s="188" t="s">
        <v>31</v>
      </c>
      <c r="L340" s="188" t="s">
        <v>31</v>
      </c>
      <c r="M340" s="188" t="s">
        <v>31</v>
      </c>
      <c r="N340" s="188"/>
      <c r="O340" s="418" t="s">
        <v>241</v>
      </c>
      <c r="P340" s="174">
        <v>6.0000000000000001E-3</v>
      </c>
      <c r="Q340" s="188"/>
      <c r="R340" s="188"/>
      <c r="S340" s="188"/>
      <c r="T340" s="188"/>
      <c r="U340" s="188"/>
    </row>
    <row r="341" spans="1:21" s="70" customFormat="1">
      <c r="A341" s="370" t="s">
        <v>5</v>
      </c>
      <c r="B341" s="371" t="s">
        <v>1213</v>
      </c>
      <c r="C341" s="353"/>
      <c r="D341" s="353"/>
      <c r="E341" s="353"/>
      <c r="F341" s="353"/>
      <c r="G341" s="353"/>
      <c r="H341" s="353"/>
      <c r="I341" s="353"/>
      <c r="J341" s="353"/>
      <c r="K341" s="353"/>
      <c r="L341" s="353"/>
      <c r="M341" s="353"/>
      <c r="N341" s="353"/>
      <c r="O341" s="353"/>
      <c r="P341" s="469"/>
      <c r="Q341" s="353"/>
      <c r="R341" s="353"/>
      <c r="S341" s="353"/>
      <c r="T341" s="353"/>
      <c r="U341" s="353"/>
    </row>
    <row r="342" spans="1:21">
      <c r="A342" s="346" t="s">
        <v>7</v>
      </c>
      <c r="B342" s="188" t="s">
        <v>786</v>
      </c>
      <c r="C342" s="345"/>
      <c r="D342" s="188"/>
      <c r="E342" s="188"/>
      <c r="F342" s="188"/>
      <c r="G342" s="188"/>
      <c r="H342" s="188"/>
      <c r="I342" s="188"/>
      <c r="J342" s="188"/>
      <c r="K342" s="188"/>
      <c r="L342" s="188"/>
      <c r="M342" s="188"/>
      <c r="N342" s="188"/>
      <c r="O342" s="188"/>
      <c r="P342" s="188"/>
      <c r="Q342" s="188"/>
      <c r="R342" s="188"/>
      <c r="S342" s="188"/>
      <c r="T342" s="188"/>
      <c r="U342" s="188"/>
    </row>
    <row r="343" spans="1:21">
      <c r="A343" s="424" t="s">
        <v>9</v>
      </c>
      <c r="B343" s="188" t="s">
        <v>1214</v>
      </c>
      <c r="C343" s="345"/>
      <c r="D343" s="188"/>
      <c r="E343" s="188"/>
      <c r="F343" s="188"/>
      <c r="G343" s="188"/>
      <c r="H343" s="188"/>
      <c r="I343" s="188"/>
      <c r="J343" s="188"/>
      <c r="K343" s="188"/>
      <c r="L343" s="188"/>
      <c r="M343" s="188"/>
      <c r="N343" s="188"/>
      <c r="O343" s="188"/>
      <c r="P343" s="188"/>
      <c r="Q343" s="188"/>
      <c r="R343" s="188"/>
      <c r="S343" s="188"/>
      <c r="T343" s="188"/>
      <c r="U343" s="188"/>
    </row>
    <row r="344" spans="1:21" ht="15.75" customHeight="1">
      <c r="A344" s="346" t="s">
        <v>11</v>
      </c>
      <c r="B344" s="347" t="s">
        <v>796</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46" t="s">
        <v>13</v>
      </c>
      <c r="B345" s="188" t="s">
        <v>14</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46" t="s">
        <v>15</v>
      </c>
      <c r="B346" s="415">
        <f>B351</f>
        <v>1.2E-2</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46" t="s">
        <v>16</v>
      </c>
      <c r="B347" s="188" t="s">
        <v>17</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46" t="s">
        <v>18</v>
      </c>
      <c r="B348" s="188" t="s">
        <v>609</v>
      </c>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43" t="s">
        <v>19</v>
      </c>
      <c r="B349" s="188"/>
      <c r="C349" s="188"/>
      <c r="D349" s="188"/>
      <c r="E349" s="188"/>
      <c r="F349" s="188"/>
      <c r="G349" s="188"/>
      <c r="H349" s="188"/>
      <c r="I349" s="188"/>
      <c r="J349" s="188"/>
      <c r="K349" s="188"/>
      <c r="L349" s="188"/>
      <c r="M349" s="188"/>
      <c r="N349" s="188"/>
      <c r="O349" s="188"/>
      <c r="P349" s="188"/>
      <c r="Q349" s="188"/>
      <c r="R349" s="188"/>
      <c r="S349" s="188"/>
      <c r="T349" s="188"/>
      <c r="U349" s="188"/>
    </row>
    <row r="350" spans="1:21">
      <c r="A350" s="344" t="s">
        <v>20</v>
      </c>
      <c r="B350" s="344" t="s">
        <v>21</v>
      </c>
      <c r="C350" s="344" t="s">
        <v>18</v>
      </c>
      <c r="D350" s="344" t="s">
        <v>22</v>
      </c>
      <c r="E350" s="344" t="s">
        <v>7</v>
      </c>
      <c r="F350" s="344" t="s">
        <v>13</v>
      </c>
      <c r="G350" s="344" t="s">
        <v>16</v>
      </c>
      <c r="H350" s="344" t="s">
        <v>23</v>
      </c>
      <c r="I350" s="344" t="s">
        <v>24</v>
      </c>
      <c r="J350" s="344" t="s">
        <v>25</v>
      </c>
      <c r="K350" s="344" t="s">
        <v>26</v>
      </c>
      <c r="L350" s="344" t="s">
        <v>27</v>
      </c>
      <c r="M350" s="344" t="s">
        <v>28</v>
      </c>
      <c r="N350" s="344" t="s">
        <v>11</v>
      </c>
      <c r="O350" s="188"/>
      <c r="P350" s="188"/>
      <c r="Q350" s="188"/>
      <c r="R350" s="188"/>
      <c r="S350" s="188"/>
      <c r="T350" s="415"/>
      <c r="U350" s="188"/>
    </row>
    <row r="351" spans="1:21">
      <c r="A351" s="192" t="s">
        <v>1213</v>
      </c>
      <c r="B351" s="415">
        <f>P351</f>
        <v>1.2E-2</v>
      </c>
      <c r="C351" s="188" t="s">
        <v>609</v>
      </c>
      <c r="D351" s="408" t="s">
        <v>2</v>
      </c>
      <c r="E351" s="188" t="s">
        <v>29</v>
      </c>
      <c r="F351" s="188" t="s">
        <v>14</v>
      </c>
      <c r="G351" s="188" t="s">
        <v>30</v>
      </c>
      <c r="H351" s="188">
        <v>1</v>
      </c>
      <c r="I351" s="415">
        <f>B351</f>
        <v>1.2E-2</v>
      </c>
      <c r="J351" s="188" t="s">
        <v>31</v>
      </c>
      <c r="K351" s="188" t="s">
        <v>31</v>
      </c>
      <c r="L351" s="188" t="s">
        <v>31</v>
      </c>
      <c r="M351" s="188" t="s">
        <v>31</v>
      </c>
      <c r="N351" s="188"/>
      <c r="O351" s="396" t="s">
        <v>823</v>
      </c>
      <c r="P351" s="469">
        <v>1.2E-2</v>
      </c>
      <c r="Q351" s="188"/>
      <c r="R351" s="188"/>
      <c r="S351" s="188"/>
      <c r="T351" s="188"/>
      <c r="U351" s="188"/>
    </row>
    <row r="352" spans="1:21">
      <c r="A352" s="88" t="s">
        <v>848</v>
      </c>
      <c r="B352" s="188">
        <f>P352</f>
        <v>0.02</v>
      </c>
      <c r="C352" s="188" t="s">
        <v>37</v>
      </c>
      <c r="D352" s="188" t="s">
        <v>40</v>
      </c>
      <c r="E352" s="188" t="s">
        <v>29</v>
      </c>
      <c r="F352" s="188" t="s">
        <v>82</v>
      </c>
      <c r="G352" s="188" t="s">
        <v>33</v>
      </c>
      <c r="H352" s="188">
        <v>2</v>
      </c>
      <c r="I352" s="188">
        <f t="shared" ref="I352:I362" si="30">LN(B352)</f>
        <v>-3.912023005428146</v>
      </c>
      <c r="J352" s="464">
        <v>0.22516660498395411</v>
      </c>
      <c r="K352" s="188" t="s">
        <v>31</v>
      </c>
      <c r="L352" s="188" t="s">
        <v>31</v>
      </c>
      <c r="M352" s="188" t="s">
        <v>31</v>
      </c>
      <c r="N352" s="188"/>
      <c r="O352" s="401" t="s">
        <v>241</v>
      </c>
      <c r="P352" s="414">
        <v>0.02</v>
      </c>
      <c r="Q352" s="188"/>
      <c r="R352" s="188"/>
      <c r="S352" s="188"/>
      <c r="T352" s="188"/>
      <c r="U352" s="188"/>
    </row>
    <row r="353" spans="1:21">
      <c r="A353" s="346" t="s">
        <v>269</v>
      </c>
      <c r="B353" s="350">
        <f>P353</f>
        <v>0.25</v>
      </c>
      <c r="C353" s="188" t="s">
        <v>39</v>
      </c>
      <c r="D353" s="188" t="s">
        <v>40</v>
      </c>
      <c r="E353" s="188" t="s">
        <v>29</v>
      </c>
      <c r="F353" s="37" t="s">
        <v>35</v>
      </c>
      <c r="G353" s="188" t="s">
        <v>33</v>
      </c>
      <c r="H353" s="188">
        <v>2</v>
      </c>
      <c r="I353" s="188">
        <f t="shared" si="30"/>
        <v>-1.3862943611198906</v>
      </c>
      <c r="J353" s="464">
        <v>0.22516660498395411</v>
      </c>
      <c r="K353" s="188" t="s">
        <v>31</v>
      </c>
      <c r="L353" s="188" t="s">
        <v>31</v>
      </c>
      <c r="M353" s="188" t="s">
        <v>31</v>
      </c>
      <c r="N353" s="188"/>
      <c r="O353" s="401" t="s">
        <v>248</v>
      </c>
      <c r="P353" s="414">
        <v>0.25</v>
      </c>
      <c r="Q353" s="188"/>
      <c r="R353" s="188"/>
      <c r="S353" s="188"/>
      <c r="T353" s="188"/>
      <c r="U353" s="188"/>
    </row>
    <row r="354" spans="1:21">
      <c r="A354" s="88" t="s">
        <v>962</v>
      </c>
      <c r="B354" s="415">
        <f>R354</f>
        <v>4.2000000000000002E-4</v>
      </c>
      <c r="C354" s="188" t="s">
        <v>37</v>
      </c>
      <c r="D354" s="188" t="s">
        <v>40</v>
      </c>
      <c r="E354" s="188" t="s">
        <v>29</v>
      </c>
      <c r="F354" s="188" t="s">
        <v>35</v>
      </c>
      <c r="G354" s="188" t="s">
        <v>33</v>
      </c>
      <c r="H354" s="188">
        <v>2</v>
      </c>
      <c r="I354" s="188">
        <f t="shared" si="30"/>
        <v>-7.7752558466868598</v>
      </c>
      <c r="J354" s="464">
        <v>0.22516660498395411</v>
      </c>
      <c r="K354" s="188" t="s">
        <v>31</v>
      </c>
      <c r="L354" s="188" t="s">
        <v>31</v>
      </c>
      <c r="M354" s="188" t="s">
        <v>31</v>
      </c>
      <c r="N354" s="188"/>
      <c r="O354" s="401" t="s">
        <v>580</v>
      </c>
      <c r="P354" s="452">
        <v>0.42</v>
      </c>
      <c r="Q354" s="188" t="s">
        <v>241</v>
      </c>
      <c r="R354" s="415">
        <f>0.001*P354</f>
        <v>4.2000000000000002E-4</v>
      </c>
      <c r="S354" s="188"/>
      <c r="T354" s="188"/>
      <c r="U354" s="188"/>
    </row>
    <row r="355" spans="1:21">
      <c r="A355" s="88" t="s">
        <v>963</v>
      </c>
      <c r="B355" s="415">
        <f>P355</f>
        <v>2E-3</v>
      </c>
      <c r="C355" s="188" t="s">
        <v>37</v>
      </c>
      <c r="D355" s="188" t="s">
        <v>40</v>
      </c>
      <c r="E355" s="188" t="s">
        <v>29</v>
      </c>
      <c r="F355" s="188" t="s">
        <v>35</v>
      </c>
      <c r="G355" s="188" t="s">
        <v>33</v>
      </c>
      <c r="H355" s="188">
        <v>2</v>
      </c>
      <c r="I355" s="188">
        <f t="shared" si="30"/>
        <v>-6.2146080984221914</v>
      </c>
      <c r="J355" s="464">
        <v>0.22516660498395411</v>
      </c>
      <c r="K355" s="188" t="s">
        <v>31</v>
      </c>
      <c r="L355" s="188" t="s">
        <v>31</v>
      </c>
      <c r="M355" s="188" t="s">
        <v>31</v>
      </c>
      <c r="N355" s="188"/>
      <c r="O355" s="401" t="s">
        <v>241</v>
      </c>
      <c r="P355" s="452">
        <v>2E-3</v>
      </c>
      <c r="Q355" s="188"/>
      <c r="R355" s="188"/>
      <c r="S355" s="188"/>
      <c r="T355" s="188"/>
      <c r="U355" s="188"/>
    </row>
    <row r="356" spans="1:21">
      <c r="A356" s="88" t="s">
        <v>964</v>
      </c>
      <c r="B356" s="415">
        <f>P356</f>
        <v>1.6999999999999999E-3</v>
      </c>
      <c r="C356" s="188" t="s">
        <v>37</v>
      </c>
      <c r="D356" s="188" t="s">
        <v>40</v>
      </c>
      <c r="E356" s="188" t="s">
        <v>29</v>
      </c>
      <c r="F356" s="188" t="s">
        <v>35</v>
      </c>
      <c r="G356" s="188" t="s">
        <v>33</v>
      </c>
      <c r="H356" s="188">
        <v>2</v>
      </c>
      <c r="I356" s="188">
        <f t="shared" si="30"/>
        <v>-6.3771270279199666</v>
      </c>
      <c r="J356" s="464">
        <v>0.22516660498395411</v>
      </c>
      <c r="K356" s="188" t="s">
        <v>31</v>
      </c>
      <c r="L356" s="188" t="s">
        <v>31</v>
      </c>
      <c r="M356" s="188" t="s">
        <v>31</v>
      </c>
      <c r="N356" s="188"/>
      <c r="O356" s="401" t="s">
        <v>241</v>
      </c>
      <c r="P356" s="452">
        <v>1.6999999999999999E-3</v>
      </c>
      <c r="Q356" s="188"/>
      <c r="R356" s="188"/>
      <c r="S356" s="188"/>
      <c r="T356" s="188"/>
      <c r="U356" s="188"/>
    </row>
    <row r="357" spans="1:21">
      <c r="A357" s="88" t="s">
        <v>191</v>
      </c>
      <c r="B357" s="415">
        <f>P357</f>
        <v>1.4999999999999999E-2</v>
      </c>
      <c r="C357" s="188" t="s">
        <v>37</v>
      </c>
      <c r="D357" s="188" t="s">
        <v>40</v>
      </c>
      <c r="E357" s="188" t="s">
        <v>29</v>
      </c>
      <c r="F357" s="188" t="s">
        <v>35</v>
      </c>
      <c r="G357" s="188" t="s">
        <v>33</v>
      </c>
      <c r="H357" s="188">
        <v>2</v>
      </c>
      <c r="I357" s="188">
        <f t="shared" si="30"/>
        <v>-4.1997050778799272</v>
      </c>
      <c r="J357" s="464">
        <v>0.22516660498395411</v>
      </c>
      <c r="K357" s="188" t="s">
        <v>31</v>
      </c>
      <c r="L357" s="188" t="s">
        <v>31</v>
      </c>
      <c r="M357" s="188" t="s">
        <v>31</v>
      </c>
      <c r="N357" s="188"/>
      <c r="O357" s="401" t="s">
        <v>241</v>
      </c>
      <c r="P357" s="414">
        <v>1.4999999999999999E-2</v>
      </c>
      <c r="Q357" s="188"/>
      <c r="R357" s="188"/>
      <c r="S357" s="188"/>
      <c r="T357" s="188"/>
      <c r="U357" s="188"/>
    </row>
    <row r="358" spans="1:21">
      <c r="A358" s="88" t="s">
        <v>965</v>
      </c>
      <c r="B358" s="415">
        <f>R358</f>
        <v>8.3000000000000012E-5</v>
      </c>
      <c r="C358" s="188" t="s">
        <v>37</v>
      </c>
      <c r="D358" s="188" t="s">
        <v>43</v>
      </c>
      <c r="E358" s="188" t="s">
        <v>44</v>
      </c>
      <c r="F358" s="188" t="s">
        <v>29</v>
      </c>
      <c r="G358" s="188" t="s">
        <v>45</v>
      </c>
      <c r="H358" s="188">
        <v>2</v>
      </c>
      <c r="I358" s="188">
        <f t="shared" si="30"/>
        <v>-9.3966699501676754</v>
      </c>
      <c r="J358" s="464">
        <v>0.10344080432788608</v>
      </c>
      <c r="K358" s="188" t="s">
        <v>31</v>
      </c>
      <c r="L358" s="188" t="s">
        <v>31</v>
      </c>
      <c r="M358" s="188" t="s">
        <v>31</v>
      </c>
      <c r="N358" s="188"/>
      <c r="O358" s="416" t="s">
        <v>580</v>
      </c>
      <c r="P358" s="417">
        <v>8.3000000000000004E-2</v>
      </c>
      <c r="Q358" s="188" t="s">
        <v>241</v>
      </c>
      <c r="R358" s="415">
        <f>0.001*P358</f>
        <v>8.3000000000000012E-5</v>
      </c>
      <c r="S358" s="188"/>
      <c r="T358" s="188"/>
      <c r="U358" s="188"/>
    </row>
    <row r="359" spans="1:21">
      <c r="A359" s="88" t="s">
        <v>77</v>
      </c>
      <c r="B359" s="415">
        <f t="shared" ref="B359:B361" si="31">R359</f>
        <v>9.2000000000000003E-4</v>
      </c>
      <c r="C359" s="188" t="s">
        <v>37</v>
      </c>
      <c r="D359" s="188" t="s">
        <v>43</v>
      </c>
      <c r="E359" s="188" t="s">
        <v>44</v>
      </c>
      <c r="F359" s="188" t="s">
        <v>29</v>
      </c>
      <c r="G359" s="188" t="s">
        <v>45</v>
      </c>
      <c r="H359" s="188">
        <v>2</v>
      </c>
      <c r="I359" s="188">
        <f t="shared" si="30"/>
        <v>-6.9911368879211881</v>
      </c>
      <c r="J359" s="464">
        <v>0.10344080432788608</v>
      </c>
      <c r="K359" s="188" t="s">
        <v>31</v>
      </c>
      <c r="L359" s="188" t="s">
        <v>31</v>
      </c>
      <c r="M359" s="188" t="s">
        <v>31</v>
      </c>
      <c r="N359" s="188"/>
      <c r="O359" s="416" t="s">
        <v>580</v>
      </c>
      <c r="P359" s="417">
        <v>0.92</v>
      </c>
      <c r="Q359" s="188" t="s">
        <v>241</v>
      </c>
      <c r="R359" s="415">
        <f>0.001*P359</f>
        <v>9.2000000000000003E-4</v>
      </c>
      <c r="S359" s="188"/>
      <c r="T359" s="188"/>
      <c r="U359" s="188"/>
    </row>
    <row r="360" spans="1:21">
      <c r="A360" s="88" t="s">
        <v>966</v>
      </c>
      <c r="B360" s="415">
        <f t="shared" si="31"/>
        <v>5.8E-4</v>
      </c>
      <c r="C360" s="188" t="s">
        <v>37</v>
      </c>
      <c r="D360" s="188" t="s">
        <v>43</v>
      </c>
      <c r="E360" s="188" t="s">
        <v>44</v>
      </c>
      <c r="F360" s="188" t="s">
        <v>29</v>
      </c>
      <c r="G360" s="188" t="s">
        <v>45</v>
      </c>
      <c r="H360" s="188">
        <v>2</v>
      </c>
      <c r="I360" s="188">
        <f t="shared" si="30"/>
        <v>-7.4524824544238095</v>
      </c>
      <c r="J360" s="464">
        <v>0.10344080432788608</v>
      </c>
      <c r="K360" s="188" t="s">
        <v>31</v>
      </c>
      <c r="L360" s="188" t="s">
        <v>31</v>
      </c>
      <c r="M360" s="188" t="s">
        <v>31</v>
      </c>
      <c r="N360" s="188"/>
      <c r="O360" s="416" t="s">
        <v>580</v>
      </c>
      <c r="P360" s="417">
        <v>0.57999999999999996</v>
      </c>
      <c r="Q360" s="188" t="s">
        <v>241</v>
      </c>
      <c r="R360" s="415">
        <f>0.001*P360</f>
        <v>5.8E-4</v>
      </c>
      <c r="S360" s="188"/>
      <c r="T360" s="188"/>
      <c r="U360" s="188"/>
    </row>
    <row r="361" spans="1:21">
      <c r="A361" s="88" t="s">
        <v>758</v>
      </c>
      <c r="B361" s="415">
        <f t="shared" si="31"/>
        <v>3.3E-4</v>
      </c>
      <c r="C361" s="188" t="s">
        <v>37</v>
      </c>
      <c r="D361" s="188" t="s">
        <v>43</v>
      </c>
      <c r="E361" s="188" t="s">
        <v>44</v>
      </c>
      <c r="F361" s="188" t="s">
        <v>29</v>
      </c>
      <c r="G361" s="188" t="s">
        <v>45</v>
      </c>
      <c r="H361" s="188">
        <v>2</v>
      </c>
      <c r="I361" s="188">
        <f t="shared" si="30"/>
        <v>-8.0164179035037488</v>
      </c>
      <c r="J361" s="464">
        <v>0.10344080432788608</v>
      </c>
      <c r="K361" s="188" t="s">
        <v>31</v>
      </c>
      <c r="L361" s="188" t="s">
        <v>31</v>
      </c>
      <c r="M361" s="188" t="s">
        <v>31</v>
      </c>
      <c r="N361" s="188"/>
      <c r="O361" s="416" t="s">
        <v>580</v>
      </c>
      <c r="P361" s="417">
        <v>0.33</v>
      </c>
      <c r="Q361" s="188" t="s">
        <v>241</v>
      </c>
      <c r="R361" s="415">
        <f>0.001*P361</f>
        <v>3.3E-4</v>
      </c>
      <c r="S361" s="188"/>
      <c r="T361" s="188"/>
      <c r="U361" s="188"/>
    </row>
    <row r="362" spans="1:21">
      <c r="A362" s="188" t="s">
        <v>790</v>
      </c>
      <c r="B362" s="415">
        <f>P362</f>
        <v>4.4999999999999997E-3</v>
      </c>
      <c r="C362" s="188" t="s">
        <v>37</v>
      </c>
      <c r="D362" s="408" t="s">
        <v>2</v>
      </c>
      <c r="E362" s="188" t="s">
        <v>29</v>
      </c>
      <c r="F362" s="37" t="s">
        <v>74</v>
      </c>
      <c r="G362" s="188" t="s">
        <v>33</v>
      </c>
      <c r="H362" s="188">
        <v>2</v>
      </c>
      <c r="I362" s="188">
        <f t="shared" si="30"/>
        <v>-5.4036778822058631</v>
      </c>
      <c r="J362" s="188">
        <v>0.11269427669584645</v>
      </c>
      <c r="K362" s="188" t="s">
        <v>31</v>
      </c>
      <c r="L362" s="188" t="s">
        <v>31</v>
      </c>
      <c r="M362" s="188" t="s">
        <v>31</v>
      </c>
      <c r="N362" s="188"/>
      <c r="O362" s="418" t="s">
        <v>241</v>
      </c>
      <c r="P362" s="453">
        <v>4.4999999999999997E-3</v>
      </c>
      <c r="Q362" s="188"/>
      <c r="R362" s="188"/>
      <c r="S362" s="188"/>
      <c r="T362" s="188"/>
      <c r="U362" s="188"/>
    </row>
    <row r="363" spans="1:21">
      <c r="P363" s="160"/>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topLeftCell="A96" zoomScale="70" zoomScaleNormal="70" workbookViewId="0">
      <selection activeCell="A123" sqref="A1:M158"/>
    </sheetView>
  </sheetViews>
  <sheetFormatPr defaultRowHeight="14.45"/>
  <cols>
    <col min="1" max="1" width="61.42578125" bestFit="1" customWidth="1"/>
    <col min="2" max="2" width="75.42578125" bestFit="1" customWidth="1"/>
    <col min="3" max="3" width="8.7109375" bestFit="1" customWidth="1"/>
    <col min="4" max="4" width="32.710937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18" t="s">
        <v>5</v>
      </c>
      <c r="B2" s="19" t="s">
        <v>54</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110</v>
      </c>
      <c r="C4" s="4"/>
      <c r="D4" s="13"/>
      <c r="E4" s="13"/>
      <c r="F4" s="13"/>
      <c r="G4" s="13"/>
      <c r="H4" s="13"/>
      <c r="I4" s="13"/>
      <c r="J4" s="13"/>
      <c r="K4" s="13"/>
      <c r="L4" s="13"/>
      <c r="M4" s="13"/>
    </row>
    <row r="5" spans="1:13" ht="29.1">
      <c r="A5" s="12" t="s">
        <v>11</v>
      </c>
      <c r="B5" s="14" t="s">
        <v>111</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54</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112</v>
      </c>
      <c r="B13" s="13">
        <v>1</v>
      </c>
      <c r="C13" s="13" t="s">
        <v>18</v>
      </c>
      <c r="D13" s="13" t="s">
        <v>2</v>
      </c>
      <c r="E13" s="13" t="s">
        <v>29</v>
      </c>
      <c r="F13" s="13" t="s">
        <v>14</v>
      </c>
      <c r="G13" s="13" t="s">
        <v>33</v>
      </c>
      <c r="H13" s="13">
        <v>1</v>
      </c>
      <c r="I13" s="13">
        <v>1</v>
      </c>
      <c r="J13" s="13" t="s">
        <v>31</v>
      </c>
      <c r="K13" s="13" t="s">
        <v>31</v>
      </c>
      <c r="L13" s="13" t="s">
        <v>31</v>
      </c>
      <c r="M13" s="13" t="s">
        <v>31</v>
      </c>
    </row>
    <row r="14" spans="1:13">
      <c r="A14" s="12" t="s">
        <v>113</v>
      </c>
      <c r="B14" s="13">
        <v>1</v>
      </c>
      <c r="C14" s="13" t="s">
        <v>18</v>
      </c>
      <c r="D14" s="13" t="s">
        <v>2</v>
      </c>
      <c r="E14" s="13" t="s">
        <v>29</v>
      </c>
      <c r="F14" s="13" t="s">
        <v>14</v>
      </c>
      <c r="G14" s="13" t="s">
        <v>33</v>
      </c>
      <c r="H14" s="13">
        <v>1</v>
      </c>
      <c r="I14" s="13">
        <v>1</v>
      </c>
      <c r="J14" s="13" t="s">
        <v>31</v>
      </c>
      <c r="K14" s="13" t="s">
        <v>31</v>
      </c>
      <c r="L14" s="13" t="s">
        <v>31</v>
      </c>
      <c r="M14" s="13" t="s">
        <v>31</v>
      </c>
    </row>
    <row r="15" spans="1:13">
      <c r="A15" s="12" t="s">
        <v>114</v>
      </c>
      <c r="B15" s="13">
        <v>1</v>
      </c>
      <c r="C15" s="13" t="s">
        <v>18</v>
      </c>
      <c r="D15" s="13" t="s">
        <v>2</v>
      </c>
      <c r="E15" s="13" t="s">
        <v>29</v>
      </c>
      <c r="F15" s="13" t="s">
        <v>14</v>
      </c>
      <c r="G15" s="13" t="s">
        <v>33</v>
      </c>
      <c r="H15" s="13">
        <v>1</v>
      </c>
      <c r="I15" s="13">
        <v>1</v>
      </c>
      <c r="J15" s="13" t="s">
        <v>31</v>
      </c>
      <c r="K15" s="13" t="s">
        <v>31</v>
      </c>
      <c r="L15" s="13" t="s">
        <v>31</v>
      </c>
      <c r="M15" s="13" t="s">
        <v>31</v>
      </c>
    </row>
    <row r="16" spans="1:13">
      <c r="A16" s="12" t="s">
        <v>115</v>
      </c>
      <c r="B16" s="13">
        <v>1</v>
      </c>
      <c r="C16" s="13" t="s">
        <v>18</v>
      </c>
      <c r="D16" s="13" t="s">
        <v>2</v>
      </c>
      <c r="E16" s="13" t="s">
        <v>29</v>
      </c>
      <c r="F16" s="13" t="s">
        <v>14</v>
      </c>
      <c r="G16" s="13" t="s">
        <v>33</v>
      </c>
      <c r="H16" s="13">
        <v>1</v>
      </c>
      <c r="I16" s="13">
        <v>1</v>
      </c>
      <c r="J16" s="13" t="s">
        <v>31</v>
      </c>
      <c r="K16" s="13" t="s">
        <v>31</v>
      </c>
      <c r="L16" s="13" t="s">
        <v>31</v>
      </c>
      <c r="M16" s="13" t="s">
        <v>31</v>
      </c>
    </row>
    <row r="17" spans="1:13">
      <c r="A17" s="12" t="s">
        <v>116</v>
      </c>
      <c r="B17" s="13">
        <v>1</v>
      </c>
      <c r="C17" s="13" t="s">
        <v>18</v>
      </c>
      <c r="D17" s="13" t="s">
        <v>2</v>
      </c>
      <c r="E17" s="13" t="s">
        <v>29</v>
      </c>
      <c r="F17" s="13" t="s">
        <v>14</v>
      </c>
      <c r="G17" s="13" t="s">
        <v>33</v>
      </c>
      <c r="H17" s="13">
        <v>1</v>
      </c>
      <c r="I17" s="13">
        <v>1</v>
      </c>
      <c r="J17" s="13" t="s">
        <v>31</v>
      </c>
      <c r="K17" s="13" t="s">
        <v>31</v>
      </c>
      <c r="L17" s="13" t="s">
        <v>31</v>
      </c>
      <c r="M17" s="13" t="s">
        <v>31</v>
      </c>
    </row>
    <row r="18" spans="1:13">
      <c r="A18" s="18" t="s">
        <v>5</v>
      </c>
      <c r="B18" s="19" t="s">
        <v>112</v>
      </c>
      <c r="C18" s="3"/>
      <c r="D18" s="11"/>
      <c r="E18" s="11"/>
      <c r="F18" s="11"/>
      <c r="G18" s="11"/>
      <c r="H18" s="11"/>
      <c r="I18" s="11"/>
      <c r="J18" s="11"/>
      <c r="K18" s="11"/>
      <c r="L18" s="11"/>
      <c r="M18" s="11"/>
    </row>
    <row r="19" spans="1:13">
      <c r="A19" s="12" t="s">
        <v>7</v>
      </c>
      <c r="B19" s="13" t="s">
        <v>117</v>
      </c>
      <c r="C19" s="4"/>
      <c r="D19" s="13"/>
      <c r="E19" s="13"/>
      <c r="F19" s="13"/>
      <c r="G19" s="13"/>
      <c r="H19" s="13"/>
      <c r="I19" s="13"/>
      <c r="J19" s="13"/>
      <c r="K19" s="13"/>
      <c r="L19" s="13"/>
      <c r="M19" s="13"/>
    </row>
    <row r="20" spans="1:13">
      <c r="A20" s="12" t="s">
        <v>9</v>
      </c>
      <c r="B20" s="13" t="s">
        <v>118</v>
      </c>
      <c r="C20" s="4"/>
      <c r="D20" s="13"/>
      <c r="E20" s="13"/>
      <c r="F20" s="13"/>
      <c r="G20" s="13"/>
      <c r="H20" s="13"/>
      <c r="I20" s="13"/>
      <c r="J20" s="13"/>
      <c r="K20" s="13"/>
      <c r="L20" s="13"/>
      <c r="M20" s="13"/>
    </row>
    <row r="21" spans="1:13" ht="29.1">
      <c r="A21" s="12" t="s">
        <v>11</v>
      </c>
      <c r="B21" s="14" t="s">
        <v>119</v>
      </c>
      <c r="C21" s="13"/>
      <c r="D21" s="13"/>
      <c r="E21" s="13"/>
      <c r="F21" s="13"/>
      <c r="G21" s="13"/>
      <c r="H21" s="13"/>
      <c r="I21" s="13"/>
      <c r="J21" s="13"/>
      <c r="K21" s="13"/>
      <c r="L21" s="13"/>
      <c r="M21" s="13"/>
    </row>
    <row r="22" spans="1:13">
      <c r="A22" s="12" t="s">
        <v>13</v>
      </c>
      <c r="B22" s="13" t="s">
        <v>14</v>
      </c>
      <c r="C22" s="13"/>
      <c r="D22" s="13"/>
      <c r="E22" s="13"/>
      <c r="F22" s="13"/>
      <c r="G22" s="13"/>
      <c r="H22" s="13"/>
      <c r="I22" s="13"/>
      <c r="J22" s="13"/>
      <c r="K22" s="13"/>
      <c r="L22" s="13"/>
      <c r="M22" s="13"/>
    </row>
    <row r="23" spans="1:13">
      <c r="A23" s="12" t="s">
        <v>15</v>
      </c>
      <c r="B23" s="13">
        <v>1</v>
      </c>
      <c r="C23" s="13"/>
      <c r="D23" s="13"/>
      <c r="E23" s="13"/>
      <c r="F23" s="13"/>
      <c r="G23" s="13"/>
      <c r="H23" s="13"/>
      <c r="I23" s="13"/>
      <c r="J23" s="13"/>
      <c r="K23" s="13"/>
      <c r="L23" s="13"/>
      <c r="M23" s="13"/>
    </row>
    <row r="24" spans="1:13">
      <c r="A24" s="12" t="s">
        <v>16</v>
      </c>
      <c r="B24" s="13" t="s">
        <v>17</v>
      </c>
      <c r="C24" s="13"/>
      <c r="D24" s="13"/>
      <c r="E24" s="13"/>
      <c r="F24" s="13"/>
      <c r="G24" s="13"/>
      <c r="H24" s="13"/>
      <c r="I24" s="13"/>
      <c r="J24" s="13"/>
      <c r="K24" s="13"/>
      <c r="L24" s="13"/>
      <c r="M24" s="13"/>
    </row>
    <row r="25" spans="1:13">
      <c r="A25" s="12" t="s">
        <v>18</v>
      </c>
      <c r="B25" s="13" t="s">
        <v>18</v>
      </c>
      <c r="C25" s="13"/>
      <c r="D25" s="13"/>
      <c r="E25" s="13"/>
      <c r="F25" s="13"/>
      <c r="G25" s="13"/>
      <c r="H25" s="13"/>
      <c r="I25" s="13"/>
      <c r="J25" s="13"/>
      <c r="K25" s="13"/>
      <c r="L25" s="13"/>
      <c r="M25" s="13"/>
    </row>
    <row r="26" spans="1:13">
      <c r="A26" s="20" t="s">
        <v>19</v>
      </c>
      <c r="B26" s="13"/>
      <c r="C26" s="13"/>
      <c r="D26" s="13"/>
      <c r="E26" s="13"/>
      <c r="F26" s="13"/>
      <c r="G26" s="13"/>
      <c r="H26" s="13"/>
      <c r="I26" s="13"/>
      <c r="J26" s="13"/>
      <c r="K26" s="13"/>
      <c r="L26" s="13"/>
      <c r="M26" s="13"/>
    </row>
    <row r="27" spans="1:13">
      <c r="A27" s="20" t="s">
        <v>20</v>
      </c>
      <c r="B27" s="21" t="s">
        <v>21</v>
      </c>
      <c r="C27" s="21" t="s">
        <v>18</v>
      </c>
      <c r="D27" s="21" t="s">
        <v>22</v>
      </c>
      <c r="E27" s="21" t="s">
        <v>7</v>
      </c>
      <c r="F27" s="21" t="s">
        <v>13</v>
      </c>
      <c r="G27" s="21" t="s">
        <v>16</v>
      </c>
      <c r="H27" s="21" t="s">
        <v>23</v>
      </c>
      <c r="I27" s="21" t="s">
        <v>24</v>
      </c>
      <c r="J27" s="21" t="s">
        <v>25</v>
      </c>
      <c r="K27" s="21" t="s">
        <v>26</v>
      </c>
      <c r="L27" s="21" t="s">
        <v>27</v>
      </c>
      <c r="M27" s="21" t="s">
        <v>28</v>
      </c>
    </row>
    <row r="28" spans="1:13">
      <c r="A28" s="12" t="s">
        <v>112</v>
      </c>
      <c r="B28" s="13">
        <v>1</v>
      </c>
      <c r="C28" s="13" t="s">
        <v>18</v>
      </c>
      <c r="D28" s="13" t="s">
        <v>2</v>
      </c>
      <c r="E28" s="13" t="s">
        <v>29</v>
      </c>
      <c r="F28" s="13" t="s">
        <v>14</v>
      </c>
      <c r="G28" s="13" t="s">
        <v>30</v>
      </c>
      <c r="H28" s="13">
        <v>1</v>
      </c>
      <c r="I28" s="13">
        <v>1</v>
      </c>
      <c r="J28" s="13" t="s">
        <v>31</v>
      </c>
      <c r="K28" s="13" t="s">
        <v>31</v>
      </c>
      <c r="L28" s="13" t="s">
        <v>31</v>
      </c>
      <c r="M28" s="13" t="s">
        <v>31</v>
      </c>
    </row>
    <row r="29" spans="1:13">
      <c r="A29" s="12" t="s">
        <v>86</v>
      </c>
      <c r="B29" s="13">
        <v>352.084</v>
      </c>
      <c r="C29" s="13" t="s">
        <v>37</v>
      </c>
      <c r="D29" s="13" t="s">
        <v>40</v>
      </c>
      <c r="E29" s="13" t="s">
        <v>29</v>
      </c>
      <c r="F29" s="13" t="s">
        <v>59</v>
      </c>
      <c r="G29" s="13" t="s">
        <v>33</v>
      </c>
      <c r="H29" s="13">
        <v>2</v>
      </c>
      <c r="I29" s="13">
        <f>LN(B29)</f>
        <v>5.8638697834926052</v>
      </c>
      <c r="J29" s="13">
        <v>0.24083189157584584</v>
      </c>
      <c r="K29" s="13" t="s">
        <v>31</v>
      </c>
      <c r="L29" s="13" t="s">
        <v>31</v>
      </c>
      <c r="M29" s="13" t="s">
        <v>31</v>
      </c>
    </row>
    <row r="30" spans="1:13">
      <c r="A30" s="12" t="s">
        <v>85</v>
      </c>
      <c r="B30" s="13">
        <v>91.847999999999999</v>
      </c>
      <c r="C30" s="13" t="s">
        <v>37</v>
      </c>
      <c r="D30" s="13" t="s">
        <v>40</v>
      </c>
      <c r="E30" s="13" t="s">
        <v>29</v>
      </c>
      <c r="F30" s="13" t="s">
        <v>59</v>
      </c>
      <c r="G30" s="13" t="s">
        <v>33</v>
      </c>
      <c r="H30" s="13">
        <v>2</v>
      </c>
      <c r="I30" s="13">
        <f t="shared" ref="I30:I32" si="0">LN(B30)</f>
        <v>4.520135036791511</v>
      </c>
      <c r="J30" s="13">
        <v>0.24083189157584584</v>
      </c>
      <c r="K30" s="13" t="s">
        <v>31</v>
      </c>
      <c r="L30" s="13" t="s">
        <v>31</v>
      </c>
      <c r="M30" s="13" t="s">
        <v>31</v>
      </c>
    </row>
    <row r="31" spans="1:13">
      <c r="A31" s="12" t="s">
        <v>120</v>
      </c>
      <c r="B31" s="13">
        <v>145.42599999999999</v>
      </c>
      <c r="C31" s="13" t="s">
        <v>37</v>
      </c>
      <c r="D31" s="13" t="s">
        <v>40</v>
      </c>
      <c r="E31" s="13" t="s">
        <v>29</v>
      </c>
      <c r="F31" s="13" t="s">
        <v>59</v>
      </c>
      <c r="G31" s="13" t="s">
        <v>33</v>
      </c>
      <c r="H31" s="13">
        <v>2</v>
      </c>
      <c r="I31" s="13">
        <f t="shared" si="0"/>
        <v>4.9796673661699513</v>
      </c>
      <c r="J31" s="13">
        <v>0.24083189157584584</v>
      </c>
      <c r="K31" s="13" t="s">
        <v>31</v>
      </c>
      <c r="L31" s="13" t="s">
        <v>31</v>
      </c>
      <c r="M31" s="13" t="s">
        <v>31</v>
      </c>
    </row>
    <row r="32" spans="1:13">
      <c r="A32" s="12" t="s">
        <v>121</v>
      </c>
      <c r="B32" s="13">
        <v>176.042</v>
      </c>
      <c r="C32" s="13" t="s">
        <v>37</v>
      </c>
      <c r="D32" s="13" t="s">
        <v>40</v>
      </c>
      <c r="E32" s="13" t="s">
        <v>29</v>
      </c>
      <c r="F32" s="13" t="s">
        <v>59</v>
      </c>
      <c r="G32" s="13" t="s">
        <v>33</v>
      </c>
      <c r="H32" s="13">
        <v>2</v>
      </c>
      <c r="I32" s="13">
        <f t="shared" si="0"/>
        <v>5.1707226029326598</v>
      </c>
      <c r="J32" s="13">
        <v>0.24083189157584584</v>
      </c>
      <c r="K32" s="13" t="s">
        <v>31</v>
      </c>
      <c r="L32" s="13" t="s">
        <v>31</v>
      </c>
      <c r="M32" s="13" t="s">
        <v>31</v>
      </c>
    </row>
    <row r="33" spans="1:13">
      <c r="A33" s="18" t="s">
        <v>5</v>
      </c>
      <c r="B33" s="19" t="s">
        <v>113</v>
      </c>
      <c r="C33" s="3"/>
      <c r="D33" s="11"/>
      <c r="E33" s="11"/>
      <c r="F33" s="11"/>
      <c r="G33" s="11"/>
      <c r="H33" s="11"/>
      <c r="I33" s="11"/>
      <c r="J33" s="11"/>
      <c r="K33" s="11"/>
      <c r="L33" s="11"/>
      <c r="M33" s="11"/>
    </row>
    <row r="34" spans="1:13">
      <c r="A34" s="12" t="s">
        <v>7</v>
      </c>
      <c r="B34" s="13" t="s">
        <v>117</v>
      </c>
      <c r="C34" s="4"/>
      <c r="D34" s="13"/>
      <c r="E34" s="13"/>
      <c r="F34" s="13"/>
      <c r="G34" s="13"/>
      <c r="H34" s="13"/>
      <c r="I34" s="13"/>
      <c r="J34" s="13"/>
      <c r="K34" s="13"/>
      <c r="L34" s="13"/>
      <c r="M34" s="13"/>
    </row>
    <row r="35" spans="1:13">
      <c r="A35" s="12" t="s">
        <v>9</v>
      </c>
      <c r="B35" s="13" t="s">
        <v>122</v>
      </c>
      <c r="C35" s="4"/>
      <c r="D35" s="13"/>
      <c r="E35" s="13"/>
      <c r="F35" s="13"/>
      <c r="G35" s="13"/>
      <c r="H35" s="13"/>
      <c r="I35" s="13"/>
      <c r="J35" s="13"/>
      <c r="K35" s="13"/>
      <c r="L35" s="13"/>
      <c r="M35" s="13"/>
    </row>
    <row r="36" spans="1:13" ht="29.1">
      <c r="A36" s="12" t="s">
        <v>11</v>
      </c>
      <c r="B36" s="14" t="s">
        <v>123</v>
      </c>
      <c r="C36" s="13"/>
      <c r="D36" s="13"/>
      <c r="E36" s="13"/>
      <c r="F36" s="13"/>
      <c r="G36" s="13"/>
      <c r="H36" s="13"/>
      <c r="I36" s="13"/>
      <c r="J36" s="13"/>
      <c r="K36" s="13"/>
      <c r="L36" s="13"/>
      <c r="M36" s="13"/>
    </row>
    <row r="37" spans="1:13">
      <c r="A37" s="12" t="s">
        <v>13</v>
      </c>
      <c r="B37" s="13" t="s">
        <v>14</v>
      </c>
      <c r="C37" s="13"/>
      <c r="D37" s="13"/>
      <c r="E37" s="13"/>
      <c r="F37" s="13"/>
      <c r="G37" s="13"/>
      <c r="H37" s="13"/>
      <c r="I37" s="13"/>
      <c r="J37" s="13"/>
      <c r="K37" s="13"/>
      <c r="L37" s="13"/>
      <c r="M37" s="13"/>
    </row>
    <row r="38" spans="1:13">
      <c r="A38" s="12" t="s">
        <v>15</v>
      </c>
      <c r="B38" s="13">
        <v>1</v>
      </c>
      <c r="C38" s="13"/>
      <c r="D38" s="13"/>
      <c r="E38" s="13"/>
      <c r="F38" s="13"/>
      <c r="G38" s="13"/>
      <c r="H38" s="13"/>
      <c r="I38" s="13"/>
      <c r="J38" s="13"/>
      <c r="K38" s="13"/>
      <c r="L38" s="13"/>
      <c r="M38" s="13"/>
    </row>
    <row r="39" spans="1:13">
      <c r="A39" s="12" t="s">
        <v>16</v>
      </c>
      <c r="B39" s="13" t="s">
        <v>17</v>
      </c>
      <c r="C39" s="13"/>
      <c r="D39" s="13"/>
      <c r="E39" s="13"/>
      <c r="F39" s="13"/>
      <c r="G39" s="13"/>
      <c r="H39" s="13"/>
      <c r="I39" s="13"/>
      <c r="J39" s="13"/>
      <c r="K39" s="13"/>
      <c r="L39" s="13"/>
      <c r="M39" s="13"/>
    </row>
    <row r="40" spans="1:13">
      <c r="A40" s="12" t="s">
        <v>18</v>
      </c>
      <c r="B40" s="13" t="s">
        <v>18</v>
      </c>
      <c r="C40" s="13"/>
      <c r="D40" s="13"/>
      <c r="E40" s="13"/>
      <c r="F40" s="13"/>
      <c r="G40" s="13"/>
      <c r="H40" s="13"/>
      <c r="I40" s="13"/>
      <c r="J40" s="13"/>
      <c r="K40" s="13"/>
      <c r="L40" s="13"/>
      <c r="M40" s="13"/>
    </row>
    <row r="41" spans="1:13">
      <c r="A41" s="20" t="s">
        <v>19</v>
      </c>
      <c r="B41" s="13"/>
      <c r="C41" s="13"/>
      <c r="D41" s="13"/>
      <c r="E41" s="13"/>
      <c r="F41" s="13"/>
      <c r="G41" s="13"/>
      <c r="H41" s="13"/>
      <c r="I41" s="13"/>
      <c r="J41" s="13"/>
      <c r="K41" s="13"/>
      <c r="L41" s="13"/>
      <c r="M41" s="13"/>
    </row>
    <row r="42" spans="1:13">
      <c r="A42" s="20" t="s">
        <v>20</v>
      </c>
      <c r="B42" s="21" t="s">
        <v>21</v>
      </c>
      <c r="C42" s="21" t="s">
        <v>18</v>
      </c>
      <c r="D42" s="21" t="s">
        <v>22</v>
      </c>
      <c r="E42" s="21" t="s">
        <v>7</v>
      </c>
      <c r="F42" s="21" t="s">
        <v>13</v>
      </c>
      <c r="G42" s="21" t="s">
        <v>16</v>
      </c>
      <c r="H42" s="21" t="s">
        <v>23</v>
      </c>
      <c r="I42" s="21" t="s">
        <v>24</v>
      </c>
      <c r="J42" s="21" t="s">
        <v>25</v>
      </c>
      <c r="K42" s="21" t="s">
        <v>26</v>
      </c>
      <c r="L42" s="21" t="s">
        <v>27</v>
      </c>
      <c r="M42" s="21" t="s">
        <v>28</v>
      </c>
    </row>
    <row r="43" spans="1:13">
      <c r="A43" s="12" t="s">
        <v>113</v>
      </c>
      <c r="B43" s="13">
        <v>1</v>
      </c>
      <c r="C43" s="13" t="s">
        <v>18</v>
      </c>
      <c r="D43" s="13" t="s">
        <v>2</v>
      </c>
      <c r="E43" s="13" t="s">
        <v>29</v>
      </c>
      <c r="F43" s="13" t="s">
        <v>14</v>
      </c>
      <c r="G43" s="13" t="s">
        <v>30</v>
      </c>
      <c r="H43" s="13">
        <v>1</v>
      </c>
      <c r="I43" s="13">
        <v>1</v>
      </c>
      <c r="J43" s="13" t="s">
        <v>31</v>
      </c>
      <c r="K43" s="13" t="s">
        <v>31</v>
      </c>
      <c r="L43" s="13" t="s">
        <v>31</v>
      </c>
      <c r="M43" s="13" t="s">
        <v>31</v>
      </c>
    </row>
    <row r="44" spans="1:13">
      <c r="A44" s="12" t="s">
        <v>124</v>
      </c>
      <c r="B44" s="13">
        <v>1023.4</v>
      </c>
      <c r="C44" s="13" t="s">
        <v>37</v>
      </c>
      <c r="D44" s="13" t="s">
        <v>40</v>
      </c>
      <c r="E44" s="13" t="s">
        <v>29</v>
      </c>
      <c r="F44" s="13" t="s">
        <v>59</v>
      </c>
      <c r="G44" s="13" t="s">
        <v>33</v>
      </c>
      <c r="H44" s="13">
        <v>2</v>
      </c>
      <c r="I44" s="13">
        <f>LN(B44)</f>
        <v>6.9308856963709911</v>
      </c>
      <c r="J44" s="13">
        <v>0.24083189157584584</v>
      </c>
      <c r="K44" s="13" t="s">
        <v>31</v>
      </c>
      <c r="L44" s="13" t="s">
        <v>31</v>
      </c>
      <c r="M44" s="13" t="s">
        <v>31</v>
      </c>
    </row>
    <row r="45" spans="1:13">
      <c r="A45" s="18" t="s">
        <v>5</v>
      </c>
      <c r="B45" s="19" t="s">
        <v>114</v>
      </c>
      <c r="C45" s="3"/>
      <c r="D45" s="11"/>
      <c r="E45" s="11"/>
      <c r="F45" s="11"/>
      <c r="G45" s="11"/>
      <c r="H45" s="11"/>
      <c r="I45" s="11"/>
      <c r="J45" s="11"/>
      <c r="K45" s="11"/>
      <c r="L45" s="11"/>
      <c r="M45" s="11"/>
    </row>
    <row r="46" spans="1:13">
      <c r="A46" s="12" t="s">
        <v>7</v>
      </c>
      <c r="B46" s="13" t="s">
        <v>117</v>
      </c>
      <c r="C46" s="4"/>
      <c r="D46" s="13"/>
      <c r="E46" s="13"/>
      <c r="F46" s="13"/>
      <c r="G46" s="13"/>
      <c r="H46" s="13"/>
      <c r="I46" s="13"/>
      <c r="J46" s="13"/>
      <c r="K46" s="13"/>
      <c r="L46" s="13"/>
      <c r="M46" s="13"/>
    </row>
    <row r="47" spans="1:13">
      <c r="A47" s="12" t="s">
        <v>9</v>
      </c>
      <c r="B47" s="13" t="s">
        <v>125</v>
      </c>
      <c r="C47" s="4"/>
      <c r="D47" s="13"/>
      <c r="E47" s="13"/>
      <c r="F47" s="13"/>
      <c r="G47" s="13"/>
      <c r="H47" s="13"/>
      <c r="I47" s="13"/>
      <c r="J47" s="13"/>
      <c r="K47" s="13"/>
      <c r="L47" s="13"/>
      <c r="M47" s="13"/>
    </row>
    <row r="48" spans="1:13" ht="29.1">
      <c r="A48" s="12" t="s">
        <v>11</v>
      </c>
      <c r="B48" s="14" t="s">
        <v>126</v>
      </c>
      <c r="C48" s="13"/>
      <c r="D48" s="13"/>
      <c r="E48" s="13"/>
      <c r="F48" s="13"/>
      <c r="G48" s="13"/>
      <c r="H48" s="13"/>
      <c r="I48" s="13"/>
      <c r="J48" s="13"/>
      <c r="K48" s="13"/>
      <c r="L48" s="13"/>
      <c r="M48" s="13"/>
    </row>
    <row r="49" spans="1:13">
      <c r="A49" s="12" t="s">
        <v>13</v>
      </c>
      <c r="B49" s="13" t="s">
        <v>14</v>
      </c>
      <c r="C49" s="13"/>
      <c r="D49" s="13"/>
      <c r="E49" s="13"/>
      <c r="F49" s="13"/>
      <c r="G49" s="13"/>
      <c r="H49" s="13"/>
      <c r="I49" s="13"/>
      <c r="J49" s="13"/>
      <c r="K49" s="13"/>
      <c r="L49" s="13"/>
      <c r="M49" s="13"/>
    </row>
    <row r="50" spans="1:13">
      <c r="A50" s="12" t="s">
        <v>15</v>
      </c>
      <c r="B50" s="13">
        <v>1</v>
      </c>
      <c r="C50" s="13"/>
      <c r="D50" s="13"/>
      <c r="E50" s="13"/>
      <c r="F50" s="13"/>
      <c r="G50" s="13"/>
      <c r="H50" s="13"/>
      <c r="I50" s="13"/>
      <c r="J50" s="13"/>
      <c r="K50" s="13"/>
      <c r="L50" s="13"/>
      <c r="M50" s="13"/>
    </row>
    <row r="51" spans="1:13">
      <c r="A51" s="12" t="s">
        <v>16</v>
      </c>
      <c r="B51" s="13" t="s">
        <v>17</v>
      </c>
      <c r="C51" s="13"/>
      <c r="D51" s="13"/>
      <c r="E51" s="13"/>
      <c r="F51" s="13"/>
      <c r="G51" s="13"/>
      <c r="H51" s="13"/>
      <c r="I51" s="13"/>
      <c r="J51" s="13"/>
      <c r="K51" s="13"/>
      <c r="L51" s="13"/>
      <c r="M51" s="13"/>
    </row>
    <row r="52" spans="1:13">
      <c r="A52" s="12" t="s">
        <v>18</v>
      </c>
      <c r="B52" s="13" t="s">
        <v>18</v>
      </c>
      <c r="C52" s="13"/>
      <c r="D52" s="13"/>
      <c r="E52" s="13"/>
      <c r="F52" s="13"/>
      <c r="G52" s="13"/>
      <c r="H52" s="13"/>
      <c r="I52" s="13"/>
      <c r="J52" s="13"/>
      <c r="K52" s="13"/>
      <c r="L52" s="13"/>
      <c r="M52" s="13"/>
    </row>
    <row r="53" spans="1:13">
      <c r="A53" s="20" t="s">
        <v>19</v>
      </c>
      <c r="B53" s="13"/>
      <c r="C53" s="13"/>
      <c r="D53" s="13"/>
      <c r="E53" s="13"/>
      <c r="F53" s="13"/>
      <c r="G53" s="13"/>
      <c r="H53" s="13"/>
      <c r="I53" s="13"/>
      <c r="J53" s="13"/>
      <c r="K53" s="13"/>
      <c r="L53" s="13"/>
      <c r="M53" s="13"/>
    </row>
    <row r="54" spans="1:13">
      <c r="A54" s="20" t="s">
        <v>20</v>
      </c>
      <c r="B54" s="21" t="s">
        <v>21</v>
      </c>
      <c r="C54" s="21" t="s">
        <v>18</v>
      </c>
      <c r="D54" s="21" t="s">
        <v>22</v>
      </c>
      <c r="E54" s="21" t="s">
        <v>7</v>
      </c>
      <c r="F54" s="21" t="s">
        <v>13</v>
      </c>
      <c r="G54" s="21" t="s">
        <v>16</v>
      </c>
      <c r="H54" s="21" t="s">
        <v>23</v>
      </c>
      <c r="I54" s="21" t="s">
        <v>24</v>
      </c>
      <c r="J54" s="21" t="s">
        <v>25</v>
      </c>
      <c r="K54" s="21" t="s">
        <v>26</v>
      </c>
      <c r="L54" s="21" t="s">
        <v>27</v>
      </c>
      <c r="M54" s="21" t="s">
        <v>28</v>
      </c>
    </row>
    <row r="55" spans="1:13">
      <c r="A55" s="12" t="s">
        <v>114</v>
      </c>
      <c r="B55" s="13">
        <v>1</v>
      </c>
      <c r="C55" s="13" t="s">
        <v>18</v>
      </c>
      <c r="D55" s="13" t="s">
        <v>2</v>
      </c>
      <c r="E55" s="13" t="s">
        <v>29</v>
      </c>
      <c r="F55" s="13" t="s">
        <v>14</v>
      </c>
      <c r="G55" s="13" t="s">
        <v>30</v>
      </c>
      <c r="H55" s="13">
        <v>1</v>
      </c>
      <c r="I55" s="13">
        <v>1</v>
      </c>
      <c r="J55" s="13" t="s">
        <v>31</v>
      </c>
      <c r="K55" s="13" t="s">
        <v>31</v>
      </c>
      <c r="L55" s="13" t="s">
        <v>31</v>
      </c>
      <c r="M55" s="13" t="s">
        <v>31</v>
      </c>
    </row>
    <row r="56" spans="1:13">
      <c r="A56" s="12" t="s">
        <v>127</v>
      </c>
      <c r="B56" s="13">
        <v>1</v>
      </c>
      <c r="C56" s="13" t="s">
        <v>18</v>
      </c>
      <c r="D56" s="13" t="s">
        <v>2</v>
      </c>
      <c r="E56" s="13" t="s">
        <v>29</v>
      </c>
      <c r="F56" s="13" t="s">
        <v>14</v>
      </c>
      <c r="G56" s="13" t="s">
        <v>33</v>
      </c>
      <c r="H56" s="13">
        <v>1</v>
      </c>
      <c r="I56" s="13">
        <v>1</v>
      </c>
      <c r="J56" s="13" t="s">
        <v>31</v>
      </c>
      <c r="K56" s="13" t="s">
        <v>31</v>
      </c>
      <c r="L56" s="13" t="s">
        <v>31</v>
      </c>
      <c r="M56" s="13" t="s">
        <v>31</v>
      </c>
    </row>
    <row r="57" spans="1:13">
      <c r="A57" s="12" t="s">
        <v>128</v>
      </c>
      <c r="B57" s="13">
        <v>1</v>
      </c>
      <c r="C57" s="13" t="s">
        <v>18</v>
      </c>
      <c r="D57" s="13" t="s">
        <v>2</v>
      </c>
      <c r="E57" s="13" t="s">
        <v>29</v>
      </c>
      <c r="F57" s="13" t="s">
        <v>14</v>
      </c>
      <c r="G57" s="13" t="s">
        <v>33</v>
      </c>
      <c r="H57" s="13">
        <v>1</v>
      </c>
      <c r="I57" s="13">
        <v>1</v>
      </c>
      <c r="J57" s="13" t="s">
        <v>31</v>
      </c>
      <c r="K57" s="13" t="s">
        <v>31</v>
      </c>
      <c r="L57" s="13" t="s">
        <v>31</v>
      </c>
      <c r="M57" s="13" t="s">
        <v>31</v>
      </c>
    </row>
    <row r="58" spans="1:13">
      <c r="A58" s="12" t="s">
        <v>129</v>
      </c>
      <c r="B58" s="13">
        <v>1</v>
      </c>
      <c r="C58" s="13" t="s">
        <v>18</v>
      </c>
      <c r="D58" s="13" t="s">
        <v>2</v>
      </c>
      <c r="E58" s="13" t="s">
        <v>29</v>
      </c>
      <c r="F58" s="13" t="s">
        <v>14</v>
      </c>
      <c r="G58" s="13" t="s">
        <v>33</v>
      </c>
      <c r="H58" s="13">
        <v>1</v>
      </c>
      <c r="I58" s="13">
        <v>1</v>
      </c>
      <c r="J58" s="13" t="s">
        <v>31</v>
      </c>
      <c r="K58" s="13" t="s">
        <v>31</v>
      </c>
      <c r="L58" s="13" t="s">
        <v>31</v>
      </c>
      <c r="M58" s="13" t="s">
        <v>31</v>
      </c>
    </row>
    <row r="59" spans="1:13">
      <c r="A59" s="12" t="s">
        <v>130</v>
      </c>
      <c r="B59" s="13">
        <v>1</v>
      </c>
      <c r="C59" s="13" t="s">
        <v>18</v>
      </c>
      <c r="D59" s="13" t="s">
        <v>2</v>
      </c>
      <c r="E59" s="13" t="s">
        <v>29</v>
      </c>
      <c r="F59" s="13" t="s">
        <v>14</v>
      </c>
      <c r="G59" s="13" t="s">
        <v>33</v>
      </c>
      <c r="H59" s="13">
        <v>1</v>
      </c>
      <c r="I59" s="13">
        <v>1</v>
      </c>
      <c r="J59" s="13" t="s">
        <v>31</v>
      </c>
      <c r="K59" s="13" t="s">
        <v>31</v>
      </c>
      <c r="L59" s="13" t="s">
        <v>31</v>
      </c>
      <c r="M59" s="13" t="s">
        <v>31</v>
      </c>
    </row>
    <row r="60" spans="1:13">
      <c r="A60" s="18" t="s">
        <v>5</v>
      </c>
      <c r="B60" s="19" t="s">
        <v>127</v>
      </c>
      <c r="C60" s="3"/>
      <c r="D60" s="11"/>
      <c r="E60" s="11"/>
      <c r="F60" s="11"/>
      <c r="G60" s="11"/>
      <c r="H60" s="11"/>
      <c r="I60" s="11"/>
      <c r="J60" s="11"/>
      <c r="K60" s="11"/>
      <c r="L60" s="11"/>
      <c r="M60" s="11"/>
    </row>
    <row r="61" spans="1:13">
      <c r="A61" s="12" t="s">
        <v>7</v>
      </c>
      <c r="B61" s="13" t="s">
        <v>131</v>
      </c>
      <c r="C61" s="4"/>
      <c r="D61" s="13"/>
      <c r="E61" s="13"/>
      <c r="F61" s="13"/>
      <c r="G61" s="13"/>
      <c r="H61" s="13"/>
      <c r="I61" s="13"/>
      <c r="J61" s="13"/>
      <c r="K61" s="13"/>
      <c r="L61" s="13"/>
      <c r="M61" s="13"/>
    </row>
    <row r="62" spans="1:13">
      <c r="A62" s="12" t="s">
        <v>9</v>
      </c>
      <c r="B62" s="13" t="s">
        <v>132</v>
      </c>
      <c r="C62" s="4"/>
      <c r="D62" s="13"/>
      <c r="E62" s="13"/>
      <c r="F62" s="13"/>
      <c r="G62" s="13"/>
      <c r="H62" s="13"/>
      <c r="I62" s="13"/>
      <c r="J62" s="13"/>
      <c r="K62" s="13"/>
      <c r="L62" s="13"/>
      <c r="M62" s="13"/>
    </row>
    <row r="63" spans="1:13" ht="29.1">
      <c r="A63" s="12" t="s">
        <v>11</v>
      </c>
      <c r="B63" s="14" t="s">
        <v>133</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c r="A68" s="20" t="s">
        <v>19</v>
      </c>
      <c r="B68" s="13"/>
      <c r="C68" s="13"/>
      <c r="D68" s="13"/>
      <c r="E68" s="13"/>
      <c r="F68" s="13"/>
      <c r="G68" s="13"/>
      <c r="H68" s="13"/>
      <c r="I68" s="13"/>
      <c r="J68" s="13"/>
      <c r="K68" s="13"/>
      <c r="L68" s="13"/>
      <c r="M68" s="13"/>
    </row>
    <row r="69" spans="1:13">
      <c r="A69" s="20" t="s">
        <v>20</v>
      </c>
      <c r="B69" s="21" t="s">
        <v>21</v>
      </c>
      <c r="C69" s="21" t="s">
        <v>18</v>
      </c>
      <c r="D69" s="21" t="s">
        <v>22</v>
      </c>
      <c r="E69" s="21" t="s">
        <v>7</v>
      </c>
      <c r="F69" s="21" t="s">
        <v>13</v>
      </c>
      <c r="G69" s="21" t="s">
        <v>16</v>
      </c>
      <c r="H69" s="21" t="s">
        <v>23</v>
      </c>
      <c r="I69" s="21" t="s">
        <v>24</v>
      </c>
      <c r="J69" s="21" t="s">
        <v>25</v>
      </c>
      <c r="K69" s="21" t="s">
        <v>26</v>
      </c>
      <c r="L69" s="21" t="s">
        <v>27</v>
      </c>
      <c r="M69" s="21" t="s">
        <v>28</v>
      </c>
    </row>
    <row r="70" spans="1:13">
      <c r="A70" s="12" t="s">
        <v>127</v>
      </c>
      <c r="B70" s="13">
        <v>1</v>
      </c>
      <c r="C70" s="13" t="s">
        <v>18</v>
      </c>
      <c r="D70" s="13" t="s">
        <v>2</v>
      </c>
      <c r="E70" s="13" t="s">
        <v>29</v>
      </c>
      <c r="F70" s="13" t="s">
        <v>14</v>
      </c>
      <c r="G70" s="13" t="s">
        <v>30</v>
      </c>
      <c r="H70" s="13">
        <v>1</v>
      </c>
      <c r="I70" s="13">
        <v>1</v>
      </c>
      <c r="J70" s="13" t="s">
        <v>31</v>
      </c>
      <c r="K70" s="13" t="s">
        <v>31</v>
      </c>
      <c r="L70" s="13" t="s">
        <v>31</v>
      </c>
      <c r="M70" s="13" t="s">
        <v>31</v>
      </c>
    </row>
    <row r="71" spans="1:13">
      <c r="A71" s="12" t="s">
        <v>134</v>
      </c>
      <c r="B71" s="13">
        <f>131.219*15</f>
        <v>1968.2849999999999</v>
      </c>
      <c r="C71" s="13" t="s">
        <v>37</v>
      </c>
      <c r="D71" s="13" t="s">
        <v>40</v>
      </c>
      <c r="E71" s="13" t="s">
        <v>29</v>
      </c>
      <c r="F71" s="13" t="s">
        <v>59</v>
      </c>
      <c r="G71" s="13" t="s">
        <v>33</v>
      </c>
      <c r="H71" s="13">
        <v>2</v>
      </c>
      <c r="I71" s="13">
        <f>LN(B71)</f>
        <v>7.5849178842003893</v>
      </c>
      <c r="J71" s="13">
        <v>0.30331501776206199</v>
      </c>
      <c r="K71" s="13" t="s">
        <v>31</v>
      </c>
      <c r="L71" s="13" t="s">
        <v>31</v>
      </c>
      <c r="M71" s="13" t="s">
        <v>31</v>
      </c>
    </row>
    <row r="72" spans="1:13">
      <c r="A72" s="12" t="s">
        <v>135</v>
      </c>
      <c r="B72" s="13">
        <f>131.219*14</f>
        <v>1837.0659999999998</v>
      </c>
      <c r="C72" s="13" t="s">
        <v>37</v>
      </c>
      <c r="D72" s="13" t="s">
        <v>40</v>
      </c>
      <c r="E72" s="13" t="s">
        <v>29</v>
      </c>
      <c r="F72" s="13" t="s">
        <v>82</v>
      </c>
      <c r="G72" s="13" t="s">
        <v>33</v>
      </c>
      <c r="H72" s="13">
        <v>2</v>
      </c>
      <c r="I72" s="13">
        <f>LN(B72)</f>
        <v>7.5159250127134376</v>
      </c>
      <c r="J72" s="13">
        <v>0.30331501776206199</v>
      </c>
      <c r="K72" s="13" t="s">
        <v>31</v>
      </c>
      <c r="L72" s="13" t="s">
        <v>31</v>
      </c>
      <c r="M72" s="13" t="s">
        <v>31</v>
      </c>
    </row>
    <row r="73" spans="1:13">
      <c r="A73" s="12" t="s">
        <v>134</v>
      </c>
      <c r="B73" s="13">
        <f>131.219*14</f>
        <v>1837.0659999999998</v>
      </c>
      <c r="C73" s="13" t="s">
        <v>37</v>
      </c>
      <c r="D73" s="13" t="s">
        <v>40</v>
      </c>
      <c r="E73" s="13" t="s">
        <v>29</v>
      </c>
      <c r="F73" s="13" t="s">
        <v>59</v>
      </c>
      <c r="G73" s="13" t="s">
        <v>136</v>
      </c>
      <c r="H73" s="13">
        <v>2</v>
      </c>
      <c r="I73" s="13">
        <f>LN(B73)</f>
        <v>7.5159250127134376</v>
      </c>
      <c r="J73" s="13">
        <v>0.30331501776206199</v>
      </c>
      <c r="K73" s="13" t="s">
        <v>31</v>
      </c>
      <c r="L73" s="13" t="s">
        <v>31</v>
      </c>
      <c r="M73" s="13" t="s">
        <v>31</v>
      </c>
    </row>
    <row r="74" spans="1:13">
      <c r="A74" s="18" t="s">
        <v>5</v>
      </c>
      <c r="B74" s="19" t="s">
        <v>128</v>
      </c>
      <c r="C74" s="3"/>
      <c r="D74" s="11"/>
      <c r="E74" s="11"/>
      <c r="F74" s="11"/>
      <c r="G74" s="11"/>
      <c r="H74" s="11"/>
      <c r="I74" s="11"/>
      <c r="J74" s="11"/>
      <c r="K74" s="11"/>
      <c r="L74" s="11"/>
      <c r="M74" s="11"/>
    </row>
    <row r="75" spans="1:13">
      <c r="A75" s="12" t="s">
        <v>7</v>
      </c>
      <c r="B75" s="13" t="s">
        <v>131</v>
      </c>
      <c r="C75" s="4"/>
      <c r="D75" s="13"/>
      <c r="E75" s="13"/>
      <c r="F75" s="13"/>
      <c r="G75" s="13"/>
      <c r="H75" s="13"/>
      <c r="I75" s="13"/>
      <c r="J75" s="13"/>
      <c r="K75" s="13"/>
      <c r="L75" s="13"/>
      <c r="M75" s="13"/>
    </row>
    <row r="76" spans="1:13">
      <c r="A76" s="12" t="s">
        <v>9</v>
      </c>
      <c r="B76" s="13" t="s">
        <v>137</v>
      </c>
      <c r="C76" s="4"/>
      <c r="D76" s="13"/>
      <c r="E76" s="13"/>
      <c r="F76" s="13"/>
      <c r="G76" s="13"/>
      <c r="H76" s="13"/>
      <c r="I76" s="13"/>
      <c r="J76" s="13"/>
      <c r="K76" s="13"/>
      <c r="L76" s="13"/>
      <c r="M76" s="13"/>
    </row>
    <row r="77" spans="1:13" ht="29.1">
      <c r="A77" s="12" t="s">
        <v>11</v>
      </c>
      <c r="B77" s="14" t="s">
        <v>138</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c r="A82" s="20" t="s">
        <v>19</v>
      </c>
      <c r="B82" s="13"/>
      <c r="C82" s="13"/>
      <c r="D82" s="13"/>
      <c r="E82" s="13"/>
      <c r="F82" s="13"/>
      <c r="G82" s="13"/>
      <c r="H82" s="13"/>
      <c r="I82" s="13"/>
      <c r="J82" s="13"/>
      <c r="K82" s="13"/>
      <c r="L82" s="13"/>
      <c r="M82" s="13"/>
    </row>
    <row r="83" spans="1:13">
      <c r="A83" s="20" t="s">
        <v>20</v>
      </c>
      <c r="B83" s="21" t="s">
        <v>21</v>
      </c>
      <c r="C83" s="21" t="s">
        <v>18</v>
      </c>
      <c r="D83" s="21" t="s">
        <v>22</v>
      </c>
      <c r="E83" s="21" t="s">
        <v>7</v>
      </c>
      <c r="F83" s="21" t="s">
        <v>13</v>
      </c>
      <c r="G83" s="21" t="s">
        <v>16</v>
      </c>
      <c r="H83" s="21" t="s">
        <v>23</v>
      </c>
      <c r="I83" s="21" t="s">
        <v>24</v>
      </c>
      <c r="J83" s="21" t="s">
        <v>25</v>
      </c>
      <c r="K83" s="21" t="s">
        <v>26</v>
      </c>
      <c r="L83" s="21" t="s">
        <v>27</v>
      </c>
      <c r="M83" s="21" t="s">
        <v>28</v>
      </c>
    </row>
    <row r="84" spans="1:13">
      <c r="A84" s="12" t="s">
        <v>128</v>
      </c>
      <c r="B84" s="13">
        <v>1</v>
      </c>
      <c r="C84" s="13" t="s">
        <v>18</v>
      </c>
      <c r="D84" s="13" t="s">
        <v>2</v>
      </c>
      <c r="E84" s="13" t="s">
        <v>29</v>
      </c>
      <c r="F84" s="13" t="s">
        <v>14</v>
      </c>
      <c r="G84" s="13" t="s">
        <v>30</v>
      </c>
      <c r="H84" s="13">
        <v>1</v>
      </c>
      <c r="I84" s="13">
        <v>1</v>
      </c>
      <c r="J84" s="13" t="s">
        <v>31</v>
      </c>
      <c r="K84" s="13" t="s">
        <v>31</v>
      </c>
      <c r="L84" s="13" t="s">
        <v>31</v>
      </c>
      <c r="M84" s="13" t="s">
        <v>31</v>
      </c>
    </row>
    <row r="85" spans="1:13">
      <c r="A85" s="12" t="s">
        <v>134</v>
      </c>
      <c r="B85" s="13">
        <f>38.675*15</f>
        <v>580.125</v>
      </c>
      <c r="C85" s="13" t="s">
        <v>37</v>
      </c>
      <c r="D85" s="13" t="s">
        <v>40</v>
      </c>
      <c r="E85" s="13" t="s">
        <v>29</v>
      </c>
      <c r="F85" s="13" t="s">
        <v>59</v>
      </c>
      <c r="G85" s="13" t="s">
        <v>33</v>
      </c>
      <c r="H85" s="13">
        <v>2</v>
      </c>
      <c r="I85" s="13">
        <f>LN(B85)</f>
        <v>6.3632435975613397</v>
      </c>
      <c r="J85" s="13">
        <v>0.30331501776206199</v>
      </c>
      <c r="K85" s="13" t="s">
        <v>31</v>
      </c>
      <c r="L85" s="13" t="s">
        <v>31</v>
      </c>
      <c r="M85" s="13" t="s">
        <v>31</v>
      </c>
    </row>
    <row r="86" spans="1:13">
      <c r="A86" s="12" t="s">
        <v>135</v>
      </c>
      <c r="B86" s="13">
        <f>38.675*14</f>
        <v>541.44999999999993</v>
      </c>
      <c r="C86" s="13" t="s">
        <v>37</v>
      </c>
      <c r="D86" s="13" t="s">
        <v>40</v>
      </c>
      <c r="E86" s="13" t="s">
        <v>29</v>
      </c>
      <c r="F86" s="13" t="s">
        <v>82</v>
      </c>
      <c r="G86" s="13" t="s">
        <v>33</v>
      </c>
      <c r="H86" s="13">
        <v>2</v>
      </c>
      <c r="I86" s="13">
        <f>LN(B86)</f>
        <v>6.2942507260743881</v>
      </c>
      <c r="J86" s="13">
        <v>0.30331501776206199</v>
      </c>
      <c r="K86" s="13" t="s">
        <v>31</v>
      </c>
      <c r="L86" s="13" t="s">
        <v>31</v>
      </c>
      <c r="M86" s="13" t="s">
        <v>31</v>
      </c>
    </row>
    <row r="87" spans="1:13">
      <c r="A87" s="12" t="s">
        <v>134</v>
      </c>
      <c r="B87" s="13">
        <f>38.675*14</f>
        <v>541.44999999999993</v>
      </c>
      <c r="C87" s="13" t="s">
        <v>37</v>
      </c>
      <c r="D87" s="13" t="s">
        <v>40</v>
      </c>
      <c r="E87" s="13" t="s">
        <v>29</v>
      </c>
      <c r="F87" s="13" t="s">
        <v>59</v>
      </c>
      <c r="G87" s="13" t="s">
        <v>136</v>
      </c>
      <c r="H87" s="13">
        <v>2</v>
      </c>
      <c r="I87" s="13">
        <f>LN(B87)</f>
        <v>6.2942507260743881</v>
      </c>
      <c r="J87" s="13">
        <v>0.30331501776206199</v>
      </c>
      <c r="K87" s="13" t="s">
        <v>31</v>
      </c>
      <c r="L87" s="13" t="s">
        <v>31</v>
      </c>
      <c r="M87" s="13" t="s">
        <v>31</v>
      </c>
    </row>
    <row r="88" spans="1:13">
      <c r="A88" s="12" t="s">
        <v>139</v>
      </c>
      <c r="B88" s="13">
        <v>9.6687499999999993</v>
      </c>
      <c r="C88" s="13" t="s">
        <v>37</v>
      </c>
      <c r="D88" s="13" t="s">
        <v>40</v>
      </c>
      <c r="E88" s="13" t="s">
        <v>29</v>
      </c>
      <c r="F88" s="13" t="s">
        <v>82</v>
      </c>
      <c r="G88" s="13" t="s">
        <v>33</v>
      </c>
      <c r="H88" s="13">
        <v>2</v>
      </c>
      <c r="I88" s="13">
        <f>LN(B88)</f>
        <v>2.2688990353392393</v>
      </c>
      <c r="J88" s="13">
        <v>0.30331501776206199</v>
      </c>
      <c r="K88" s="13" t="s">
        <v>31</v>
      </c>
      <c r="L88" s="13" t="s">
        <v>31</v>
      </c>
      <c r="M88" s="13" t="s">
        <v>31</v>
      </c>
    </row>
    <row r="89" spans="1:13">
      <c r="A89" s="18" t="s">
        <v>5</v>
      </c>
      <c r="B89" s="19" t="s">
        <v>129</v>
      </c>
      <c r="C89" s="3"/>
      <c r="D89" s="11"/>
      <c r="E89" s="11"/>
      <c r="F89" s="11"/>
      <c r="G89" s="11"/>
      <c r="H89" s="11"/>
      <c r="I89" s="11"/>
      <c r="J89" s="11"/>
      <c r="K89" s="11"/>
      <c r="L89" s="11"/>
      <c r="M89" s="11"/>
    </row>
    <row r="90" spans="1:13">
      <c r="A90" s="12" t="s">
        <v>7</v>
      </c>
      <c r="B90" s="13" t="s">
        <v>131</v>
      </c>
      <c r="C90" s="4"/>
      <c r="D90" s="13"/>
      <c r="E90" s="13"/>
      <c r="F90" s="13"/>
      <c r="G90" s="13"/>
      <c r="H90" s="13"/>
      <c r="I90" s="13"/>
      <c r="J90" s="13"/>
      <c r="K90" s="13"/>
      <c r="L90" s="13"/>
      <c r="M90" s="13"/>
    </row>
    <row r="91" spans="1:13">
      <c r="A91" s="12" t="s">
        <v>9</v>
      </c>
      <c r="B91" s="13" t="s">
        <v>140</v>
      </c>
      <c r="C91" s="4"/>
      <c r="D91" s="13"/>
      <c r="E91" s="13"/>
      <c r="F91" s="13"/>
      <c r="G91" s="13"/>
      <c r="H91" s="13"/>
      <c r="I91" s="13"/>
      <c r="J91" s="13"/>
      <c r="K91" s="13"/>
      <c r="L91" s="13"/>
      <c r="M91" s="13"/>
    </row>
    <row r="92" spans="1:13" ht="29.1">
      <c r="A92" s="12" t="s">
        <v>11</v>
      </c>
      <c r="B92" s="14" t="s">
        <v>141</v>
      </c>
      <c r="C92" s="13"/>
      <c r="D92" s="13"/>
      <c r="E92" s="13"/>
      <c r="F92" s="13"/>
      <c r="G92" s="13"/>
      <c r="H92" s="13"/>
      <c r="I92" s="13"/>
      <c r="J92" s="13"/>
      <c r="K92" s="13"/>
      <c r="L92" s="13"/>
      <c r="M92" s="13"/>
    </row>
    <row r="93" spans="1:13">
      <c r="A93" s="12" t="s">
        <v>13</v>
      </c>
      <c r="B93" s="13" t="s">
        <v>14</v>
      </c>
      <c r="C93" s="13"/>
      <c r="D93" s="13"/>
      <c r="E93" s="13"/>
      <c r="F93" s="13"/>
      <c r="G93" s="13"/>
      <c r="H93" s="13"/>
      <c r="I93" s="13"/>
      <c r="J93" s="13"/>
      <c r="K93" s="13"/>
      <c r="L93" s="13"/>
      <c r="M93" s="13"/>
    </row>
    <row r="94" spans="1:13">
      <c r="A94" s="12" t="s">
        <v>15</v>
      </c>
      <c r="B94" s="13">
        <v>1</v>
      </c>
      <c r="C94" s="13"/>
      <c r="D94" s="13"/>
      <c r="E94" s="13"/>
      <c r="F94" s="13"/>
      <c r="G94" s="13"/>
      <c r="H94" s="13"/>
      <c r="I94" s="13"/>
      <c r="J94" s="13"/>
      <c r="K94" s="13"/>
      <c r="L94" s="13"/>
      <c r="M94" s="13"/>
    </row>
    <row r="95" spans="1:13">
      <c r="A95" s="12" t="s">
        <v>16</v>
      </c>
      <c r="B95" s="13" t="s">
        <v>17</v>
      </c>
      <c r="C95" s="13"/>
      <c r="D95" s="13"/>
      <c r="E95" s="13"/>
      <c r="F95" s="13"/>
      <c r="G95" s="13"/>
      <c r="H95" s="13"/>
      <c r="I95" s="13"/>
      <c r="J95" s="13"/>
      <c r="K95" s="13"/>
      <c r="L95" s="13"/>
      <c r="M95" s="13"/>
    </row>
    <row r="96" spans="1:13">
      <c r="A96" s="12" t="s">
        <v>18</v>
      </c>
      <c r="B96" s="13" t="s">
        <v>18</v>
      </c>
      <c r="C96" s="13"/>
      <c r="D96" s="13"/>
      <c r="E96" s="13"/>
      <c r="F96" s="13"/>
      <c r="G96" s="13"/>
      <c r="H96" s="13"/>
      <c r="I96" s="13"/>
      <c r="J96" s="13"/>
      <c r="K96" s="13"/>
      <c r="L96" s="13"/>
      <c r="M96" s="13"/>
    </row>
    <row r="97" spans="1:13">
      <c r="A97" s="20" t="s">
        <v>19</v>
      </c>
      <c r="B97" s="13"/>
      <c r="C97" s="13"/>
      <c r="D97" s="13"/>
      <c r="E97" s="13"/>
      <c r="F97" s="13"/>
      <c r="G97" s="13"/>
      <c r="H97" s="13"/>
      <c r="I97" s="13"/>
      <c r="J97" s="13"/>
      <c r="K97" s="13"/>
      <c r="L97" s="13"/>
      <c r="M97" s="13"/>
    </row>
    <row r="98" spans="1:13">
      <c r="A98" s="20" t="s">
        <v>20</v>
      </c>
      <c r="B98" s="21" t="s">
        <v>21</v>
      </c>
      <c r="C98" s="21" t="s">
        <v>18</v>
      </c>
      <c r="D98" s="21" t="s">
        <v>22</v>
      </c>
      <c r="E98" s="21" t="s">
        <v>7</v>
      </c>
      <c r="F98" s="21" t="s">
        <v>13</v>
      </c>
      <c r="G98" s="21" t="s">
        <v>16</v>
      </c>
      <c r="H98" s="21" t="s">
        <v>23</v>
      </c>
      <c r="I98" s="21" t="s">
        <v>24</v>
      </c>
      <c r="J98" s="21" t="s">
        <v>25</v>
      </c>
      <c r="K98" s="21" t="s">
        <v>26</v>
      </c>
      <c r="L98" s="21" t="s">
        <v>27</v>
      </c>
      <c r="M98" s="21" t="s">
        <v>28</v>
      </c>
    </row>
    <row r="99" spans="1:13">
      <c r="A99" s="12" t="s">
        <v>129</v>
      </c>
      <c r="B99" s="13">
        <v>1</v>
      </c>
      <c r="C99" s="13" t="s">
        <v>18</v>
      </c>
      <c r="D99" s="13" t="s">
        <v>2</v>
      </c>
      <c r="E99" s="13" t="s">
        <v>29</v>
      </c>
      <c r="F99" s="13" t="s">
        <v>14</v>
      </c>
      <c r="G99" s="13" t="s">
        <v>30</v>
      </c>
      <c r="H99" s="13">
        <v>1</v>
      </c>
      <c r="I99" s="13">
        <v>1</v>
      </c>
      <c r="J99" s="13" t="s">
        <v>31</v>
      </c>
      <c r="K99" s="13" t="s">
        <v>31</v>
      </c>
      <c r="L99" s="13" t="s">
        <v>31</v>
      </c>
      <c r="M99" s="13" t="s">
        <v>31</v>
      </c>
    </row>
    <row r="100" spans="1:13">
      <c r="A100" s="12" t="s">
        <v>134</v>
      </c>
      <c r="B100" s="13">
        <f>87.479*15</f>
        <v>1312.1849999999999</v>
      </c>
      <c r="C100" s="13" t="s">
        <v>37</v>
      </c>
      <c r="D100" s="13" t="s">
        <v>40</v>
      </c>
      <c r="E100" s="13" t="s">
        <v>29</v>
      </c>
      <c r="F100" s="13" t="s">
        <v>59</v>
      </c>
      <c r="G100" s="13" t="s">
        <v>33</v>
      </c>
      <c r="H100" s="13">
        <v>2</v>
      </c>
      <c r="I100" s="13">
        <f>LN(B100)</f>
        <v>7.1794489656611695</v>
      </c>
      <c r="J100" s="13">
        <v>0.30331501776206199</v>
      </c>
      <c r="K100" s="13" t="s">
        <v>31</v>
      </c>
      <c r="L100" s="13" t="s">
        <v>31</v>
      </c>
      <c r="M100" s="13" t="s">
        <v>31</v>
      </c>
    </row>
    <row r="101" spans="1:13">
      <c r="A101" s="12" t="s">
        <v>135</v>
      </c>
      <c r="B101" s="13">
        <f>87.479*14</f>
        <v>1224.7059999999999</v>
      </c>
      <c r="C101" s="13" t="s">
        <v>37</v>
      </c>
      <c r="D101" s="13" t="s">
        <v>40</v>
      </c>
      <c r="E101" s="13" t="s">
        <v>29</v>
      </c>
      <c r="F101" s="13" t="s">
        <v>82</v>
      </c>
      <c r="G101" s="13" t="s">
        <v>33</v>
      </c>
      <c r="H101" s="13">
        <v>2</v>
      </c>
      <c r="I101" s="13">
        <f>LN(B101)</f>
        <v>7.1104560941742188</v>
      </c>
      <c r="J101" s="13">
        <v>0.30331501776206199</v>
      </c>
      <c r="K101" s="13" t="s">
        <v>31</v>
      </c>
      <c r="L101" s="13" t="s">
        <v>31</v>
      </c>
      <c r="M101" s="13" t="s">
        <v>31</v>
      </c>
    </row>
    <row r="102" spans="1:13">
      <c r="A102" s="12" t="s">
        <v>134</v>
      </c>
      <c r="B102" s="13">
        <f>87.479*14</f>
        <v>1224.7059999999999</v>
      </c>
      <c r="C102" s="13" t="s">
        <v>37</v>
      </c>
      <c r="D102" s="13" t="s">
        <v>40</v>
      </c>
      <c r="E102" s="13" t="s">
        <v>29</v>
      </c>
      <c r="F102" s="13" t="s">
        <v>59</v>
      </c>
      <c r="G102" s="13" t="s">
        <v>136</v>
      </c>
      <c r="H102" s="13">
        <v>2</v>
      </c>
      <c r="I102" s="13">
        <f>LN(B102)</f>
        <v>7.1104560941742188</v>
      </c>
      <c r="J102" s="13">
        <v>0.30331501776206199</v>
      </c>
      <c r="K102" s="13" t="s">
        <v>31</v>
      </c>
      <c r="L102" s="13" t="s">
        <v>31</v>
      </c>
      <c r="M102" s="13" t="s">
        <v>31</v>
      </c>
    </row>
    <row r="103" spans="1:13">
      <c r="A103" s="12" t="s">
        <v>85</v>
      </c>
      <c r="B103" s="13">
        <f>43.74*15</f>
        <v>656.1</v>
      </c>
      <c r="C103" s="13" t="s">
        <v>37</v>
      </c>
      <c r="D103" s="13" t="s">
        <v>40</v>
      </c>
      <c r="E103" s="13" t="s">
        <v>29</v>
      </c>
      <c r="F103" s="13" t="s">
        <v>59</v>
      </c>
      <c r="G103" s="13" t="s">
        <v>33</v>
      </c>
      <c r="H103" s="13">
        <v>2</v>
      </c>
      <c r="I103" s="13">
        <f t="shared" ref="I103:I105" si="1">LN(B103)</f>
        <v>6.4863132163508315</v>
      </c>
      <c r="J103" s="13">
        <v>0.30331501776206199</v>
      </c>
      <c r="K103" s="13" t="s">
        <v>31</v>
      </c>
      <c r="L103" s="13" t="s">
        <v>31</v>
      </c>
      <c r="M103" s="13" t="s">
        <v>31</v>
      </c>
    </row>
    <row r="104" spans="1:13">
      <c r="A104" s="12" t="s">
        <v>142</v>
      </c>
      <c r="B104" s="13">
        <f>43.74*14</f>
        <v>612.36</v>
      </c>
      <c r="C104" s="13" t="s">
        <v>37</v>
      </c>
      <c r="D104" s="13" t="s">
        <v>40</v>
      </c>
      <c r="E104" s="13" t="s">
        <v>29</v>
      </c>
      <c r="F104" s="13" t="s">
        <v>35</v>
      </c>
      <c r="G104" s="13" t="s">
        <v>33</v>
      </c>
      <c r="H104" s="13">
        <v>2</v>
      </c>
      <c r="I104" s="13">
        <f t="shared" si="1"/>
        <v>6.4173203448638807</v>
      </c>
      <c r="J104" s="13">
        <v>0.30331501776206199</v>
      </c>
      <c r="K104" s="13" t="s">
        <v>31</v>
      </c>
      <c r="L104" s="13" t="s">
        <v>31</v>
      </c>
      <c r="M104" s="13" t="s">
        <v>31</v>
      </c>
    </row>
    <row r="105" spans="1:13">
      <c r="A105" s="12" t="s">
        <v>85</v>
      </c>
      <c r="B105" s="13">
        <f>43.74*14</f>
        <v>612.36</v>
      </c>
      <c r="C105" s="13" t="s">
        <v>37</v>
      </c>
      <c r="D105" s="13" t="s">
        <v>40</v>
      </c>
      <c r="E105" s="13" t="s">
        <v>29</v>
      </c>
      <c r="F105" s="13" t="s">
        <v>59</v>
      </c>
      <c r="G105" s="13" t="s">
        <v>136</v>
      </c>
      <c r="H105" s="13">
        <v>2</v>
      </c>
      <c r="I105" s="13">
        <f t="shared" si="1"/>
        <v>6.4173203448638807</v>
      </c>
      <c r="J105" s="13">
        <v>0.30331501776206199</v>
      </c>
      <c r="K105" s="13" t="s">
        <v>31</v>
      </c>
      <c r="L105" s="13" t="s">
        <v>31</v>
      </c>
      <c r="M105" s="13" t="s">
        <v>31</v>
      </c>
    </row>
    <row r="106" spans="1:13">
      <c r="A106" s="18" t="s">
        <v>5</v>
      </c>
      <c r="B106" s="19" t="s">
        <v>130</v>
      </c>
      <c r="C106" s="3"/>
      <c r="D106" s="11"/>
      <c r="E106" s="11"/>
      <c r="F106" s="11"/>
      <c r="G106" s="11"/>
      <c r="H106" s="11"/>
      <c r="I106" s="11"/>
      <c r="J106" s="11"/>
      <c r="K106" s="11"/>
      <c r="L106" s="11"/>
      <c r="M106" s="11"/>
    </row>
    <row r="107" spans="1:13">
      <c r="A107" s="12" t="s">
        <v>7</v>
      </c>
      <c r="B107" s="13" t="s">
        <v>131</v>
      </c>
      <c r="C107" s="4"/>
      <c r="D107" s="13"/>
      <c r="E107" s="13"/>
      <c r="F107" s="13"/>
      <c r="G107" s="13"/>
      <c r="H107" s="13"/>
      <c r="I107" s="13"/>
      <c r="J107" s="13"/>
      <c r="K107" s="13"/>
      <c r="L107" s="13"/>
      <c r="M107" s="13"/>
    </row>
    <row r="108" spans="1:13">
      <c r="A108" s="12" t="s">
        <v>9</v>
      </c>
      <c r="B108" s="13" t="s">
        <v>143</v>
      </c>
      <c r="C108" s="4"/>
      <c r="D108" s="13"/>
      <c r="E108" s="13"/>
      <c r="F108" s="13"/>
      <c r="G108" s="13"/>
      <c r="H108" s="13"/>
      <c r="I108" s="13"/>
      <c r="J108" s="13"/>
      <c r="K108" s="13"/>
      <c r="L108" s="13"/>
      <c r="M108" s="13"/>
    </row>
    <row r="109" spans="1:13" ht="29.1">
      <c r="A109" s="12" t="s">
        <v>11</v>
      </c>
      <c r="B109" s="14" t="s">
        <v>144</v>
      </c>
      <c r="C109" s="13"/>
      <c r="D109" s="13"/>
      <c r="E109" s="13"/>
      <c r="F109" s="13"/>
      <c r="G109" s="13"/>
      <c r="H109" s="13"/>
      <c r="I109" s="13"/>
      <c r="J109" s="13"/>
      <c r="K109" s="13"/>
      <c r="L109" s="13"/>
      <c r="M109" s="13"/>
    </row>
    <row r="110" spans="1:13">
      <c r="A110" s="12" t="s">
        <v>13</v>
      </c>
      <c r="B110" s="13" t="s">
        <v>14</v>
      </c>
      <c r="C110" s="13"/>
      <c r="D110" s="13"/>
      <c r="E110" s="13"/>
      <c r="F110" s="13"/>
      <c r="G110" s="13"/>
      <c r="H110" s="13"/>
      <c r="I110" s="13"/>
      <c r="J110" s="13"/>
      <c r="K110" s="13"/>
      <c r="L110" s="13"/>
      <c r="M110" s="13"/>
    </row>
    <row r="111" spans="1:13">
      <c r="A111" s="12" t="s">
        <v>15</v>
      </c>
      <c r="B111" s="13">
        <v>1</v>
      </c>
      <c r="C111" s="13"/>
      <c r="D111" s="13"/>
      <c r="E111" s="13"/>
      <c r="F111" s="13"/>
      <c r="G111" s="13"/>
      <c r="H111" s="13"/>
      <c r="I111" s="13"/>
      <c r="J111" s="13"/>
      <c r="K111" s="13"/>
      <c r="L111" s="13"/>
      <c r="M111" s="13"/>
    </row>
    <row r="112" spans="1:13">
      <c r="A112" s="12" t="s">
        <v>16</v>
      </c>
      <c r="B112" s="13" t="s">
        <v>17</v>
      </c>
      <c r="C112" s="13"/>
      <c r="D112" s="13"/>
      <c r="E112" s="13"/>
      <c r="F112" s="13"/>
      <c r="G112" s="13"/>
      <c r="H112" s="13"/>
      <c r="I112" s="13"/>
      <c r="J112" s="13"/>
      <c r="K112" s="13"/>
      <c r="L112" s="13"/>
      <c r="M112" s="13"/>
    </row>
    <row r="113" spans="1:13">
      <c r="A113" s="12" t="s">
        <v>18</v>
      </c>
      <c r="B113" s="13" t="s">
        <v>18</v>
      </c>
      <c r="C113" s="13"/>
      <c r="D113" s="13"/>
      <c r="E113" s="13"/>
      <c r="F113" s="13"/>
      <c r="G113" s="13"/>
      <c r="H113" s="13"/>
      <c r="I113" s="13"/>
      <c r="J113" s="13"/>
      <c r="K113" s="13"/>
      <c r="L113" s="13"/>
      <c r="M113" s="13"/>
    </row>
    <row r="114" spans="1:13">
      <c r="A114" s="20" t="s">
        <v>19</v>
      </c>
      <c r="B114" s="13"/>
      <c r="C114" s="13"/>
      <c r="D114" s="13"/>
      <c r="E114" s="13"/>
      <c r="F114" s="13"/>
      <c r="G114" s="13"/>
      <c r="H114" s="13"/>
      <c r="I114" s="13"/>
      <c r="J114" s="13"/>
      <c r="K114" s="13"/>
      <c r="L114" s="13"/>
      <c r="M114" s="13"/>
    </row>
    <row r="115" spans="1:13">
      <c r="A115" s="20" t="s">
        <v>20</v>
      </c>
      <c r="B115" s="21" t="s">
        <v>21</v>
      </c>
      <c r="C115" s="21" t="s">
        <v>18</v>
      </c>
      <c r="D115" s="21" t="s">
        <v>22</v>
      </c>
      <c r="E115" s="21" t="s">
        <v>7</v>
      </c>
      <c r="F115" s="21" t="s">
        <v>13</v>
      </c>
      <c r="G115" s="21" t="s">
        <v>16</v>
      </c>
      <c r="H115" s="21" t="s">
        <v>23</v>
      </c>
      <c r="I115" s="21" t="s">
        <v>24</v>
      </c>
      <c r="J115" s="21" t="s">
        <v>25</v>
      </c>
      <c r="K115" s="21" t="s">
        <v>26</v>
      </c>
      <c r="L115" s="21" t="s">
        <v>27</v>
      </c>
      <c r="M115" s="21" t="s">
        <v>28</v>
      </c>
    </row>
    <row r="116" spans="1:13">
      <c r="A116" s="12" t="s">
        <v>130</v>
      </c>
      <c r="B116" s="13">
        <v>1</v>
      </c>
      <c r="C116" s="13" t="s">
        <v>18</v>
      </c>
      <c r="D116" s="13" t="s">
        <v>2</v>
      </c>
      <c r="E116" s="13" t="s">
        <v>29</v>
      </c>
      <c r="F116" s="13" t="s">
        <v>14</v>
      </c>
      <c r="G116" s="13" t="s">
        <v>30</v>
      </c>
      <c r="H116" s="13">
        <v>1</v>
      </c>
      <c r="I116" s="13">
        <v>1</v>
      </c>
      <c r="J116" s="13" t="s">
        <v>31</v>
      </c>
      <c r="K116" s="13" t="s">
        <v>31</v>
      </c>
      <c r="L116" s="13" t="s">
        <v>31</v>
      </c>
      <c r="M116" s="13" t="s">
        <v>31</v>
      </c>
    </row>
    <row r="117" spans="1:13">
      <c r="A117" s="12" t="s">
        <v>85</v>
      </c>
      <c r="B117" s="13">
        <f>96.688*15</f>
        <v>1450.32</v>
      </c>
      <c r="C117" s="13" t="s">
        <v>37</v>
      </c>
      <c r="D117" s="13" t="s">
        <v>40</v>
      </c>
      <c r="E117" s="13" t="s">
        <v>29</v>
      </c>
      <c r="F117" s="13" t="s">
        <v>59</v>
      </c>
      <c r="G117" s="13" t="s">
        <v>33</v>
      </c>
      <c r="H117" s="13">
        <v>2</v>
      </c>
      <c r="I117" s="13">
        <f>LN(B117)</f>
        <v>7.2795395007214125</v>
      </c>
      <c r="J117" s="13">
        <v>0.30331501776206199</v>
      </c>
      <c r="K117" s="13" t="s">
        <v>31</v>
      </c>
      <c r="L117" s="13" t="s">
        <v>31</v>
      </c>
      <c r="M117" s="13" t="s">
        <v>31</v>
      </c>
    </row>
    <row r="118" spans="1:13">
      <c r="A118" s="12" t="s">
        <v>142</v>
      </c>
      <c r="B118" s="13">
        <f>96.688*14</f>
        <v>1353.6320000000001</v>
      </c>
      <c r="C118" s="13" t="s">
        <v>37</v>
      </c>
      <c r="D118" s="13" t="s">
        <v>40</v>
      </c>
      <c r="E118" s="13" t="s">
        <v>29</v>
      </c>
      <c r="F118" s="13" t="s">
        <v>35</v>
      </c>
      <c r="G118" s="13" t="s">
        <v>33</v>
      </c>
      <c r="H118" s="13">
        <v>2</v>
      </c>
      <c r="I118" s="13">
        <f>LN(B118)</f>
        <v>7.2105466292344618</v>
      </c>
      <c r="J118" s="13">
        <v>0.30331501776206199</v>
      </c>
      <c r="K118" s="13" t="s">
        <v>31</v>
      </c>
      <c r="L118" s="13" t="s">
        <v>31</v>
      </c>
      <c r="M118" s="13" t="s">
        <v>31</v>
      </c>
    </row>
    <row r="119" spans="1:13">
      <c r="A119" s="12" t="s">
        <v>85</v>
      </c>
      <c r="B119" s="13">
        <f>96.688*14</f>
        <v>1353.6320000000001</v>
      </c>
      <c r="C119" s="13" t="s">
        <v>37</v>
      </c>
      <c r="D119" s="13" t="s">
        <v>40</v>
      </c>
      <c r="E119" s="13" t="s">
        <v>29</v>
      </c>
      <c r="F119" s="13" t="s">
        <v>59</v>
      </c>
      <c r="G119" s="13" t="s">
        <v>136</v>
      </c>
      <c r="H119" s="13">
        <v>2</v>
      </c>
      <c r="I119" s="13">
        <f>LN(B119)</f>
        <v>7.2105466292344618</v>
      </c>
      <c r="J119" s="13">
        <v>0.30331501776206199</v>
      </c>
      <c r="K119" s="13" t="s">
        <v>31</v>
      </c>
      <c r="L119" s="13" t="s">
        <v>31</v>
      </c>
      <c r="M119" s="13" t="s">
        <v>31</v>
      </c>
    </row>
    <row r="120" spans="1:13">
      <c r="A120" s="12" t="s">
        <v>134</v>
      </c>
      <c r="B120" s="13">
        <f>96.688*15</f>
        <v>1450.32</v>
      </c>
      <c r="C120" s="13" t="s">
        <v>37</v>
      </c>
      <c r="D120" s="13" t="s">
        <v>40</v>
      </c>
      <c r="E120" s="13" t="s">
        <v>29</v>
      </c>
      <c r="F120" s="13" t="s">
        <v>59</v>
      </c>
      <c r="G120" s="13" t="s">
        <v>33</v>
      </c>
      <c r="H120" s="13">
        <v>2</v>
      </c>
      <c r="I120" s="13">
        <f t="shared" ref="I120:I124" si="2">LN(B120)</f>
        <v>7.2795395007214125</v>
      </c>
      <c r="J120" s="13">
        <v>0.30331501776206199</v>
      </c>
      <c r="K120" s="13" t="s">
        <v>31</v>
      </c>
      <c r="L120" s="13" t="s">
        <v>31</v>
      </c>
      <c r="M120" s="13" t="s">
        <v>31</v>
      </c>
    </row>
    <row r="121" spans="1:13">
      <c r="A121" s="12" t="s">
        <v>135</v>
      </c>
      <c r="B121" s="13">
        <f>96.688*14</f>
        <v>1353.6320000000001</v>
      </c>
      <c r="C121" s="13" t="s">
        <v>37</v>
      </c>
      <c r="D121" s="13" t="s">
        <v>40</v>
      </c>
      <c r="E121" s="13" t="s">
        <v>29</v>
      </c>
      <c r="F121" s="13" t="s">
        <v>82</v>
      </c>
      <c r="G121" s="13" t="s">
        <v>33</v>
      </c>
      <c r="H121" s="13">
        <v>2</v>
      </c>
      <c r="I121" s="13">
        <f t="shared" si="2"/>
        <v>7.2105466292344618</v>
      </c>
      <c r="J121" s="13">
        <v>0.30331501776206199</v>
      </c>
      <c r="K121" s="13" t="s">
        <v>31</v>
      </c>
      <c r="L121" s="13" t="s">
        <v>31</v>
      </c>
      <c r="M121" s="13" t="s">
        <v>31</v>
      </c>
    </row>
    <row r="122" spans="1:13">
      <c r="A122" s="12" t="s">
        <v>134</v>
      </c>
      <c r="B122" s="13">
        <f>96.688*14</f>
        <v>1353.6320000000001</v>
      </c>
      <c r="C122" s="13" t="s">
        <v>37</v>
      </c>
      <c r="D122" s="13" t="s">
        <v>40</v>
      </c>
      <c r="E122" s="13" t="s">
        <v>29</v>
      </c>
      <c r="F122" s="13" t="s">
        <v>59</v>
      </c>
      <c r="G122" s="13" t="s">
        <v>136</v>
      </c>
      <c r="H122" s="13">
        <v>2</v>
      </c>
      <c r="I122" s="13">
        <f t="shared" si="2"/>
        <v>7.2105466292344618</v>
      </c>
      <c r="J122" s="13">
        <v>0.30331501776206199</v>
      </c>
      <c r="K122" s="13" t="s">
        <v>31</v>
      </c>
      <c r="L122" s="13" t="s">
        <v>31</v>
      </c>
      <c r="M122" s="13" t="s">
        <v>31</v>
      </c>
    </row>
    <row r="123" spans="1:13">
      <c r="A123" s="12" t="s">
        <v>145</v>
      </c>
      <c r="B123" s="13">
        <f>48.344*15</f>
        <v>725.16</v>
      </c>
      <c r="C123" s="13" t="s">
        <v>37</v>
      </c>
      <c r="D123" s="13" t="s">
        <v>40</v>
      </c>
      <c r="E123" s="13" t="s">
        <v>29</v>
      </c>
      <c r="F123" s="13" t="s">
        <v>59</v>
      </c>
      <c r="G123" s="13" t="s">
        <v>33</v>
      </c>
      <c r="H123" s="13">
        <v>2</v>
      </c>
      <c r="I123" s="13">
        <f t="shared" si="2"/>
        <v>6.5863923201614671</v>
      </c>
      <c r="J123" s="13">
        <v>0.30331501776206199</v>
      </c>
      <c r="K123" s="13" t="s">
        <v>31</v>
      </c>
      <c r="L123" s="13" t="s">
        <v>31</v>
      </c>
      <c r="M123" s="13" t="s">
        <v>31</v>
      </c>
    </row>
    <row r="124" spans="1:13">
      <c r="A124" s="12" t="s">
        <v>146</v>
      </c>
      <c r="B124" s="13">
        <f>48.344*14</f>
        <v>676.81600000000003</v>
      </c>
      <c r="C124" s="13" t="s">
        <v>37</v>
      </c>
      <c r="D124" s="13" t="s">
        <v>40</v>
      </c>
      <c r="E124" s="13" t="s">
        <v>29</v>
      </c>
      <c r="F124" s="13" t="s">
        <v>82</v>
      </c>
      <c r="G124" s="13" t="s">
        <v>33</v>
      </c>
      <c r="H124" s="13">
        <v>2</v>
      </c>
      <c r="I124" s="13">
        <f t="shared" si="2"/>
        <v>6.5173994486745164</v>
      </c>
      <c r="J124" s="13">
        <v>0.30331501776206199</v>
      </c>
      <c r="K124" s="13" t="s">
        <v>31</v>
      </c>
      <c r="L124" s="13" t="s">
        <v>31</v>
      </c>
      <c r="M124" s="13" t="s">
        <v>31</v>
      </c>
    </row>
    <row r="125" spans="1:13">
      <c r="A125" s="18" t="s">
        <v>5</v>
      </c>
      <c r="B125" s="19" t="s">
        <v>115</v>
      </c>
      <c r="C125" s="3"/>
      <c r="D125" s="11"/>
      <c r="E125" s="11"/>
      <c r="F125" s="11"/>
      <c r="G125" s="11"/>
      <c r="H125" s="11"/>
      <c r="I125" s="11"/>
      <c r="J125" s="11"/>
      <c r="K125" s="11"/>
      <c r="L125" s="11"/>
      <c r="M125" s="11"/>
    </row>
    <row r="126" spans="1:13">
      <c r="A126" s="12" t="s">
        <v>7</v>
      </c>
      <c r="B126" s="13" t="s">
        <v>131</v>
      </c>
      <c r="C126" s="4"/>
      <c r="D126" s="13"/>
      <c r="E126" s="13"/>
      <c r="F126" s="13"/>
      <c r="G126" s="13"/>
      <c r="H126" s="13"/>
      <c r="I126" s="13"/>
      <c r="J126" s="13"/>
      <c r="K126" s="13"/>
      <c r="L126" s="13"/>
      <c r="M126" s="13"/>
    </row>
    <row r="127" spans="1:13">
      <c r="A127" s="12" t="s">
        <v>9</v>
      </c>
      <c r="B127" s="13" t="s">
        <v>147</v>
      </c>
      <c r="C127" s="4"/>
      <c r="D127" s="13"/>
      <c r="E127" s="13"/>
      <c r="F127" s="13"/>
      <c r="G127" s="13"/>
      <c r="H127" s="13"/>
      <c r="I127" s="13"/>
      <c r="J127" s="13"/>
      <c r="K127" s="13"/>
      <c r="L127" s="13"/>
      <c r="M127" s="13"/>
    </row>
    <row r="128" spans="1:13" ht="29.1">
      <c r="A128" s="12" t="s">
        <v>11</v>
      </c>
      <c r="B128" s="14" t="s">
        <v>148</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c r="A133" s="20" t="s">
        <v>19</v>
      </c>
      <c r="B133" s="13"/>
      <c r="C133" s="13"/>
      <c r="D133" s="13"/>
      <c r="E133" s="13"/>
      <c r="F133" s="13"/>
      <c r="G133" s="13"/>
      <c r="H133" s="13"/>
      <c r="I133" s="13"/>
      <c r="J133" s="13"/>
      <c r="K133" s="13"/>
      <c r="L133" s="13"/>
      <c r="M133" s="13"/>
    </row>
    <row r="134" spans="1:13">
      <c r="A134" s="20" t="s">
        <v>20</v>
      </c>
      <c r="B134" s="21" t="s">
        <v>21</v>
      </c>
      <c r="C134" s="21" t="s">
        <v>18</v>
      </c>
      <c r="D134" s="21" t="s">
        <v>22</v>
      </c>
      <c r="E134" s="21" t="s">
        <v>7</v>
      </c>
      <c r="F134" s="21" t="s">
        <v>13</v>
      </c>
      <c r="G134" s="21" t="s">
        <v>16</v>
      </c>
      <c r="H134" s="21" t="s">
        <v>23</v>
      </c>
      <c r="I134" s="21" t="s">
        <v>24</v>
      </c>
      <c r="J134" s="21" t="s">
        <v>25</v>
      </c>
      <c r="K134" s="21" t="s">
        <v>26</v>
      </c>
      <c r="L134" s="21" t="s">
        <v>27</v>
      </c>
      <c r="M134" s="21" t="s">
        <v>28</v>
      </c>
    </row>
    <row r="135" spans="1:13">
      <c r="A135" s="12" t="s">
        <v>115</v>
      </c>
      <c r="B135" s="13">
        <v>1</v>
      </c>
      <c r="C135" s="13" t="s">
        <v>18</v>
      </c>
      <c r="D135" s="13" t="s">
        <v>2</v>
      </c>
      <c r="E135" s="13" t="s">
        <v>29</v>
      </c>
      <c r="F135" s="13" t="s">
        <v>14</v>
      </c>
      <c r="G135" s="13" t="s">
        <v>30</v>
      </c>
      <c r="H135" s="13">
        <v>1</v>
      </c>
      <c r="I135" s="13">
        <v>1</v>
      </c>
      <c r="J135" s="13" t="s">
        <v>31</v>
      </c>
      <c r="K135" s="13" t="s">
        <v>31</v>
      </c>
      <c r="L135" s="13" t="s">
        <v>31</v>
      </c>
      <c r="M135" s="13" t="s">
        <v>31</v>
      </c>
    </row>
    <row r="136" spans="1:13">
      <c r="A136" s="12" t="s">
        <v>124</v>
      </c>
      <c r="B136" s="13">
        <v>473.2</v>
      </c>
      <c r="C136" s="13" t="s">
        <v>37</v>
      </c>
      <c r="D136" s="13" t="s">
        <v>40</v>
      </c>
      <c r="E136" s="13" t="s">
        <v>29</v>
      </c>
      <c r="F136" s="13" t="s">
        <v>59</v>
      </c>
      <c r="G136" s="13" t="s">
        <v>33</v>
      </c>
      <c r="H136" s="13">
        <v>2</v>
      </c>
      <c r="I136" s="13">
        <f>LN(B136)</f>
        <v>6.1595181321042318</v>
      </c>
      <c r="J136" s="13">
        <v>0.24083189157584584</v>
      </c>
      <c r="K136" s="13" t="s">
        <v>31</v>
      </c>
      <c r="L136" s="13" t="s">
        <v>31</v>
      </c>
      <c r="M136" s="13" t="s">
        <v>31</v>
      </c>
    </row>
    <row r="137" spans="1:13">
      <c r="A137" s="18" t="s">
        <v>5</v>
      </c>
      <c r="B137" s="19" t="s">
        <v>116</v>
      </c>
      <c r="C137" s="3"/>
      <c r="D137" s="11"/>
      <c r="E137" s="11"/>
      <c r="F137" s="11"/>
      <c r="G137" s="11"/>
      <c r="H137" s="11"/>
      <c r="I137" s="11"/>
      <c r="J137" s="11"/>
      <c r="K137" s="11"/>
      <c r="L137" s="11"/>
      <c r="M137" s="11"/>
    </row>
    <row r="138" spans="1:13">
      <c r="A138" s="12" t="s">
        <v>7</v>
      </c>
      <c r="B138" s="13" t="s">
        <v>131</v>
      </c>
      <c r="C138" s="4"/>
      <c r="D138" s="13"/>
      <c r="E138" s="13"/>
      <c r="F138" s="13"/>
      <c r="G138" s="13"/>
      <c r="H138" s="13"/>
      <c r="I138" s="13"/>
      <c r="J138" s="13"/>
      <c r="K138" s="13"/>
      <c r="L138" s="13"/>
      <c r="M138" s="13"/>
    </row>
    <row r="139" spans="1:13">
      <c r="A139" s="12" t="s">
        <v>9</v>
      </c>
      <c r="B139" s="13" t="s">
        <v>149</v>
      </c>
      <c r="C139" s="4"/>
      <c r="D139" s="13"/>
      <c r="E139" s="13"/>
      <c r="F139" s="13"/>
      <c r="G139" s="13"/>
      <c r="H139" s="13"/>
      <c r="I139" s="13"/>
      <c r="J139" s="13"/>
      <c r="K139" s="13"/>
      <c r="L139" s="13"/>
      <c r="M139" s="13"/>
    </row>
    <row r="140" spans="1:13" ht="29.1">
      <c r="A140" s="12" t="s">
        <v>11</v>
      </c>
      <c r="B140" s="14" t="s">
        <v>150</v>
      </c>
      <c r="C140" s="13"/>
      <c r="D140" s="13"/>
      <c r="E140" s="13"/>
      <c r="F140" s="13"/>
      <c r="G140" s="13"/>
      <c r="H140" s="13"/>
      <c r="I140" s="13"/>
      <c r="J140" s="13"/>
      <c r="K140" s="13"/>
      <c r="L140" s="13"/>
      <c r="M140" s="13"/>
    </row>
    <row r="141" spans="1:13">
      <c r="A141" s="12" t="s">
        <v>13</v>
      </c>
      <c r="B141" s="13" t="s">
        <v>14</v>
      </c>
      <c r="C141" s="13"/>
      <c r="D141" s="13"/>
      <c r="E141" s="13"/>
      <c r="F141" s="13"/>
      <c r="G141" s="13"/>
      <c r="H141" s="13"/>
      <c r="I141" s="13"/>
      <c r="J141" s="13"/>
      <c r="K141" s="13"/>
      <c r="L141" s="13"/>
      <c r="M141" s="13"/>
    </row>
    <row r="142" spans="1:13">
      <c r="A142" s="12" t="s">
        <v>15</v>
      </c>
      <c r="B142" s="13">
        <v>1</v>
      </c>
      <c r="C142" s="13"/>
      <c r="D142" s="13"/>
      <c r="E142" s="13"/>
      <c r="F142" s="13"/>
      <c r="G142" s="13"/>
      <c r="H142" s="13"/>
      <c r="I142" s="13"/>
      <c r="J142" s="13"/>
      <c r="K142" s="13"/>
      <c r="L142" s="13"/>
      <c r="M142" s="13"/>
    </row>
    <row r="143" spans="1:13">
      <c r="A143" s="12" t="s">
        <v>16</v>
      </c>
      <c r="B143" s="13" t="s">
        <v>17</v>
      </c>
      <c r="C143" s="13"/>
      <c r="D143" s="13"/>
      <c r="E143" s="13"/>
      <c r="F143" s="13"/>
      <c r="G143" s="13"/>
      <c r="H143" s="13"/>
      <c r="I143" s="13"/>
      <c r="J143" s="13"/>
      <c r="K143" s="13"/>
      <c r="L143" s="13"/>
      <c r="M143" s="13"/>
    </row>
    <row r="144" spans="1:13">
      <c r="A144" s="12" t="s">
        <v>18</v>
      </c>
      <c r="B144" s="13" t="s">
        <v>18</v>
      </c>
      <c r="C144" s="13"/>
      <c r="D144" s="13"/>
      <c r="E144" s="13"/>
      <c r="F144" s="13"/>
      <c r="G144" s="13"/>
      <c r="H144" s="13"/>
      <c r="I144" s="13"/>
      <c r="J144" s="13"/>
      <c r="K144" s="13"/>
      <c r="L144" s="13"/>
      <c r="M144" s="13"/>
    </row>
    <row r="145" spans="1:13">
      <c r="A145" s="20" t="s">
        <v>19</v>
      </c>
      <c r="B145" s="13"/>
      <c r="C145" s="13"/>
      <c r="D145" s="13"/>
      <c r="E145" s="13"/>
      <c r="F145" s="13"/>
      <c r="G145" s="13"/>
      <c r="H145" s="13"/>
      <c r="I145" s="13"/>
      <c r="J145" s="13"/>
      <c r="K145" s="13"/>
      <c r="L145" s="13"/>
      <c r="M145" s="13"/>
    </row>
    <row r="146" spans="1:13">
      <c r="A146" s="20" t="s">
        <v>20</v>
      </c>
      <c r="B146" s="21" t="s">
        <v>21</v>
      </c>
      <c r="C146" s="21" t="s">
        <v>18</v>
      </c>
      <c r="D146" s="21" t="s">
        <v>22</v>
      </c>
      <c r="E146" s="21" t="s">
        <v>7</v>
      </c>
      <c r="F146" s="21" t="s">
        <v>13</v>
      </c>
      <c r="G146" s="21" t="s">
        <v>16</v>
      </c>
      <c r="H146" s="21" t="s">
        <v>23</v>
      </c>
      <c r="I146" s="21" t="s">
        <v>24</v>
      </c>
      <c r="J146" s="21" t="s">
        <v>25</v>
      </c>
      <c r="K146" s="21" t="s">
        <v>26</v>
      </c>
      <c r="L146" s="21" t="s">
        <v>27</v>
      </c>
      <c r="M146" s="21" t="s">
        <v>28</v>
      </c>
    </row>
    <row r="147" spans="1:13">
      <c r="A147" s="12" t="s">
        <v>85</v>
      </c>
      <c r="B147" s="13">
        <f>110.918*10</f>
        <v>1109.18</v>
      </c>
      <c r="C147" s="13" t="s">
        <v>37</v>
      </c>
      <c r="D147" s="13" t="s">
        <v>40</v>
      </c>
      <c r="E147" s="13" t="s">
        <v>29</v>
      </c>
      <c r="F147" s="13" t="s">
        <v>59</v>
      </c>
      <c r="G147" s="13" t="s">
        <v>33</v>
      </c>
      <c r="H147" s="13">
        <v>2</v>
      </c>
      <c r="I147" s="13">
        <f t="shared" ref="I147:I158" si="3">LN(B147)</f>
        <v>7.0113762825657195</v>
      </c>
      <c r="J147" s="13">
        <v>0.30331501776206199</v>
      </c>
      <c r="K147" s="13" t="s">
        <v>31</v>
      </c>
      <c r="L147" s="13" t="s">
        <v>31</v>
      </c>
      <c r="M147" s="13" t="s">
        <v>31</v>
      </c>
    </row>
    <row r="148" spans="1:13">
      <c r="A148" s="12" t="s">
        <v>142</v>
      </c>
      <c r="B148" s="13">
        <f>110.918*9</f>
        <v>998.26200000000006</v>
      </c>
      <c r="C148" s="13" t="s">
        <v>37</v>
      </c>
      <c r="D148" s="13" t="s">
        <v>40</v>
      </c>
      <c r="E148" s="13" t="s">
        <v>29</v>
      </c>
      <c r="F148" s="13" t="s">
        <v>35</v>
      </c>
      <c r="G148" s="13" t="s">
        <v>33</v>
      </c>
      <c r="H148" s="13">
        <v>2</v>
      </c>
      <c r="I148" s="13">
        <f t="shared" si="3"/>
        <v>6.9060157669078928</v>
      </c>
      <c r="J148" s="13">
        <v>0.30331501776206199</v>
      </c>
      <c r="K148" s="13" t="s">
        <v>31</v>
      </c>
      <c r="L148" s="13" t="s">
        <v>31</v>
      </c>
      <c r="M148" s="13" t="s">
        <v>31</v>
      </c>
    </row>
    <row r="149" spans="1:13">
      <c r="A149" s="12" t="s">
        <v>85</v>
      </c>
      <c r="B149" s="13">
        <f>110.918*9</f>
        <v>998.26200000000006</v>
      </c>
      <c r="C149" s="13" t="s">
        <v>37</v>
      </c>
      <c r="D149" s="13" t="s">
        <v>40</v>
      </c>
      <c r="E149" s="13" t="s">
        <v>29</v>
      </c>
      <c r="F149" s="13" t="s">
        <v>59</v>
      </c>
      <c r="G149" s="13" t="s">
        <v>136</v>
      </c>
      <c r="H149" s="13">
        <v>2</v>
      </c>
      <c r="I149" s="13">
        <f t="shared" si="3"/>
        <v>6.9060157669078928</v>
      </c>
      <c r="J149" s="13">
        <v>0.30331501776206199</v>
      </c>
      <c r="K149" s="13" t="s">
        <v>31</v>
      </c>
      <c r="L149" s="13" t="s">
        <v>31</v>
      </c>
      <c r="M149" s="13" t="s">
        <v>31</v>
      </c>
    </row>
    <row r="150" spans="1:13">
      <c r="A150" s="12" t="s">
        <v>88</v>
      </c>
      <c r="B150" s="13">
        <f>15.527*2.2</f>
        <v>34.159399999999998</v>
      </c>
      <c r="C150" s="13" t="s">
        <v>37</v>
      </c>
      <c r="D150" s="13" t="s">
        <v>40</v>
      </c>
      <c r="E150" s="13" t="s">
        <v>29</v>
      </c>
      <c r="F150" s="13" t="s">
        <v>59</v>
      </c>
      <c r="G150" s="13" t="s">
        <v>33</v>
      </c>
      <c r="H150" s="13">
        <v>2</v>
      </c>
      <c r="I150" s="13">
        <f t="shared" si="3"/>
        <v>3.5310378043633026</v>
      </c>
      <c r="J150" s="13">
        <v>0.30331501776206199</v>
      </c>
      <c r="K150" s="13" t="s">
        <v>31</v>
      </c>
      <c r="L150" s="13" t="s">
        <v>31</v>
      </c>
      <c r="M150" s="13" t="s">
        <v>31</v>
      </c>
    </row>
    <row r="151" spans="1:13">
      <c r="A151" s="12" t="s">
        <v>135</v>
      </c>
      <c r="B151" s="13">
        <f>15.527*(2.2-1)</f>
        <v>18.632400000000001</v>
      </c>
      <c r="C151" s="13" t="s">
        <v>37</v>
      </c>
      <c r="D151" s="13" t="s">
        <v>40</v>
      </c>
      <c r="E151" s="13" t="s">
        <v>29</v>
      </c>
      <c r="F151" s="13" t="s">
        <v>82</v>
      </c>
      <c r="G151" s="13" t="s">
        <v>33</v>
      </c>
      <c r="H151" s="13">
        <v>2</v>
      </c>
      <c r="I151" s="13">
        <v>7.1283395581514224</v>
      </c>
      <c r="J151" s="13">
        <v>0.30331501776206199</v>
      </c>
      <c r="K151" s="13" t="s">
        <v>31</v>
      </c>
      <c r="L151" s="13" t="s">
        <v>31</v>
      </c>
      <c r="M151" s="13" t="s">
        <v>31</v>
      </c>
    </row>
    <row r="152" spans="1:13">
      <c r="A152" s="12" t="s">
        <v>88</v>
      </c>
      <c r="B152" s="13">
        <f>15.527*(2.2-1)</f>
        <v>18.632400000000001</v>
      </c>
      <c r="C152" s="13" t="s">
        <v>37</v>
      </c>
      <c r="D152" s="13" t="s">
        <v>40</v>
      </c>
      <c r="E152" s="13" t="s">
        <v>29</v>
      </c>
      <c r="F152" s="13" t="s">
        <v>59</v>
      </c>
      <c r="G152" s="13" t="s">
        <v>136</v>
      </c>
      <c r="H152" s="13">
        <v>2</v>
      </c>
      <c r="I152" s="13">
        <f t="shared" si="3"/>
        <v>2.9249020007929873</v>
      </c>
      <c r="J152" s="13">
        <v>0.30331501776206199</v>
      </c>
      <c r="K152" s="13" t="s">
        <v>31</v>
      </c>
      <c r="L152" s="13" t="s">
        <v>31</v>
      </c>
      <c r="M152" s="13" t="s">
        <v>31</v>
      </c>
    </row>
    <row r="153" spans="1:13">
      <c r="A153" s="12" t="s">
        <v>151</v>
      </c>
      <c r="B153" s="13">
        <f>7.337*1.2</f>
        <v>8.8043999999999993</v>
      </c>
      <c r="C153" s="13" t="s">
        <v>37</v>
      </c>
      <c r="D153" s="13" t="s">
        <v>40</v>
      </c>
      <c r="E153" s="13" t="s">
        <v>29</v>
      </c>
      <c r="F153" s="13" t="s">
        <v>59</v>
      </c>
      <c r="G153" s="13" t="s">
        <v>33</v>
      </c>
      <c r="H153" s="13">
        <v>2</v>
      </c>
      <c r="I153" s="13">
        <f t="shared" si="3"/>
        <v>2.1752515965258117</v>
      </c>
      <c r="J153" s="13">
        <v>0.30331501776206199</v>
      </c>
      <c r="K153" s="13" t="s">
        <v>31</v>
      </c>
      <c r="L153" s="13" t="s">
        <v>31</v>
      </c>
      <c r="M153" s="13" t="s">
        <v>31</v>
      </c>
    </row>
    <row r="154" spans="1:13">
      <c r="A154" s="12" t="s">
        <v>135</v>
      </c>
      <c r="B154" s="13">
        <f>7.337*(1.2-1)</f>
        <v>1.4673999999999996</v>
      </c>
      <c r="C154" s="13" t="s">
        <v>37</v>
      </c>
      <c r="D154" s="13" t="s">
        <v>40</v>
      </c>
      <c r="E154" s="13" t="s">
        <v>29</v>
      </c>
      <c r="F154" s="13" t="s">
        <v>82</v>
      </c>
      <c r="G154" s="13" t="s">
        <v>33</v>
      </c>
      <c r="H154" s="13">
        <v>2</v>
      </c>
      <c r="I154" s="13">
        <v>7.1283395581514224</v>
      </c>
      <c r="J154" s="13">
        <v>0.30331501776206199</v>
      </c>
      <c r="K154" s="13" t="s">
        <v>31</v>
      </c>
      <c r="L154" s="13" t="s">
        <v>31</v>
      </c>
      <c r="M154" s="13" t="s">
        <v>31</v>
      </c>
    </row>
    <row r="155" spans="1:13">
      <c r="A155" s="12" t="s">
        <v>151</v>
      </c>
      <c r="B155" s="13">
        <f>7.337*(1.2-1)</f>
        <v>1.4673999999999996</v>
      </c>
      <c r="C155" s="13" t="s">
        <v>37</v>
      </c>
      <c r="D155" s="13" t="s">
        <v>40</v>
      </c>
      <c r="E155" s="13" t="s">
        <v>29</v>
      </c>
      <c r="F155" s="13" t="s">
        <v>59</v>
      </c>
      <c r="G155" s="13" t="s">
        <v>136</v>
      </c>
      <c r="H155" s="13">
        <v>2</v>
      </c>
      <c r="I155" s="13">
        <f t="shared" si="3"/>
        <v>0.38349212729775656</v>
      </c>
      <c r="J155" s="13">
        <v>0.30331501776206199</v>
      </c>
      <c r="K155" s="13" t="s">
        <v>31</v>
      </c>
      <c r="L155" s="13" t="s">
        <v>31</v>
      </c>
      <c r="M155" s="13" t="s">
        <v>31</v>
      </c>
    </row>
    <row r="156" spans="1:13">
      <c r="A156" s="12" t="s">
        <v>152</v>
      </c>
      <c r="B156" s="13">
        <f>47.819*2.2</f>
        <v>105.20180000000002</v>
      </c>
      <c r="C156" s="13" t="s">
        <v>37</v>
      </c>
      <c r="D156" s="13" t="s">
        <v>40</v>
      </c>
      <c r="E156" s="13" t="s">
        <v>29</v>
      </c>
      <c r="F156" s="13" t="s">
        <v>59</v>
      </c>
      <c r="G156" s="13" t="s">
        <v>33</v>
      </c>
      <c r="H156" s="13">
        <v>2</v>
      </c>
      <c r="I156" s="13">
        <f t="shared" si="3"/>
        <v>4.6558804104233902</v>
      </c>
      <c r="J156" s="13">
        <v>0.30331501776206199</v>
      </c>
      <c r="K156" s="13" t="s">
        <v>31</v>
      </c>
      <c r="L156" s="13" t="s">
        <v>31</v>
      </c>
      <c r="M156" s="13" t="s">
        <v>31</v>
      </c>
    </row>
    <row r="157" spans="1:13">
      <c r="A157" s="12" t="s">
        <v>135</v>
      </c>
      <c r="B157" s="13">
        <f>47.819*(2.2-1)</f>
        <v>57.38280000000001</v>
      </c>
      <c r="C157" s="13" t="s">
        <v>37</v>
      </c>
      <c r="D157" s="13" t="s">
        <v>40</v>
      </c>
      <c r="E157" s="13" t="s">
        <v>29</v>
      </c>
      <c r="F157" s="13" t="s">
        <v>82</v>
      </c>
      <c r="G157" s="13" t="s">
        <v>33</v>
      </c>
      <c r="H157" s="13">
        <v>2</v>
      </c>
      <c r="I157" s="13">
        <v>7.1283395581514224</v>
      </c>
      <c r="J157" s="13">
        <v>0.30331501776206199</v>
      </c>
      <c r="K157" s="13" t="s">
        <v>31</v>
      </c>
      <c r="L157" s="13" t="s">
        <v>31</v>
      </c>
      <c r="M157" s="13" t="s">
        <v>31</v>
      </c>
    </row>
    <row r="158" spans="1:13">
      <c r="A158" s="12" t="s">
        <v>152</v>
      </c>
      <c r="B158" s="13">
        <f>47.819*(2.2-1)</f>
        <v>57.38280000000001</v>
      </c>
      <c r="C158" s="13" t="s">
        <v>37</v>
      </c>
      <c r="D158" s="13" t="s">
        <v>40</v>
      </c>
      <c r="E158" s="13" t="s">
        <v>29</v>
      </c>
      <c r="F158" s="13" t="s">
        <v>59</v>
      </c>
      <c r="G158" s="13" t="s">
        <v>136</v>
      </c>
      <c r="H158" s="13">
        <v>2</v>
      </c>
      <c r="I158" s="13">
        <f t="shared" si="3"/>
        <v>4.0497446068530749</v>
      </c>
      <c r="J158" s="13">
        <v>0.30331501776206199</v>
      </c>
      <c r="K158" s="13" t="s">
        <v>31</v>
      </c>
      <c r="L158" s="13" t="s">
        <v>31</v>
      </c>
      <c r="M158" s="13" t="s">
        <v>31</v>
      </c>
    </row>
  </sheetData>
  <pageMargins left="0.7" right="0.7" top="0.75" bottom="0.75" header="0.3" footer="0.3"/>
  <pageSetup paperSize="9" orientation="portrait" verticalDpi="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3EDFD-79FF-455C-8153-983402FF3A8A}">
  <sheetPr>
    <tabColor theme="6" tint="0.79998168889431442"/>
  </sheetPr>
  <dimension ref="A1:AC57"/>
  <sheetViews>
    <sheetView zoomScale="85" zoomScaleNormal="85" workbookViewId="0">
      <selection activeCell="I13" sqref="I13:I30"/>
    </sheetView>
  </sheetViews>
  <sheetFormatPr defaultColWidth="9.140625" defaultRowHeight="12.95"/>
  <cols>
    <col min="1" max="1" width="109.5703125" style="188" customWidth="1"/>
    <col min="2" max="2" width="62" style="188" bestFit="1" customWidth="1"/>
    <col min="3" max="3" width="13.28515625" style="188" bestFit="1" customWidth="1"/>
    <col min="4" max="4" width="37.140625" style="188" bestFit="1" customWidth="1"/>
    <col min="5" max="5" width="11" style="188" bestFit="1" customWidth="1"/>
    <col min="6" max="6" width="23.85546875" style="188" bestFit="1" customWidth="1"/>
    <col min="7" max="7" width="13.42578125" style="188" bestFit="1" customWidth="1"/>
    <col min="8" max="8" width="17.7109375" style="188" bestFit="1" customWidth="1"/>
    <col min="9" max="9" width="7" style="188" bestFit="1" customWidth="1"/>
    <col min="10" max="10" width="12" style="188" bestFit="1" customWidth="1"/>
    <col min="11" max="13" width="10.85546875" style="188" bestFit="1" customWidth="1"/>
    <col min="14" max="23" width="9.140625" style="188"/>
    <col min="24" max="24" width="0" style="188" hidden="1" customWidth="1"/>
    <col min="25" max="16384" width="9.14062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CF0B1DC4AAFB42A4AAAD59EF1F0C4924</v>
      </c>
    </row>
    <row r="2" spans="1:26">
      <c r="A2" s="370" t="s">
        <v>5</v>
      </c>
      <c r="B2" s="371" t="s">
        <v>780</v>
      </c>
      <c r="C2" s="372"/>
      <c r="D2" s="353"/>
      <c r="E2" s="353"/>
      <c r="F2" s="353"/>
      <c r="G2" s="353"/>
      <c r="H2" s="353"/>
      <c r="I2" s="353"/>
      <c r="J2" s="353"/>
      <c r="K2" s="353"/>
      <c r="L2" s="353"/>
      <c r="M2" s="353"/>
    </row>
    <row r="3" spans="1:26">
      <c r="A3" s="346" t="s">
        <v>7</v>
      </c>
      <c r="B3" s="188" t="s">
        <v>786</v>
      </c>
      <c r="C3" s="345"/>
    </row>
    <row r="4" spans="1:26">
      <c r="A4" s="346" t="s">
        <v>9</v>
      </c>
      <c r="B4" s="188" t="s">
        <v>1215</v>
      </c>
      <c r="C4" s="345"/>
    </row>
    <row r="5" spans="1:26" ht="26.1">
      <c r="A5" s="346" t="s">
        <v>11</v>
      </c>
      <c r="B5" s="347" t="s">
        <v>834</v>
      </c>
    </row>
    <row r="6" spans="1:26">
      <c r="A6" s="346" t="s">
        <v>13</v>
      </c>
      <c r="B6" s="188" t="s">
        <v>14</v>
      </c>
    </row>
    <row r="7" spans="1:26">
      <c r="A7" s="346" t="s">
        <v>15</v>
      </c>
      <c r="B7" s="188">
        <v>1</v>
      </c>
    </row>
    <row r="8" spans="1:26">
      <c r="A8" s="346" t="s">
        <v>16</v>
      </c>
      <c r="B8" s="188" t="s">
        <v>17</v>
      </c>
    </row>
    <row r="9" spans="1:26">
      <c r="A9" s="346" t="s">
        <v>18</v>
      </c>
      <c r="B9" s="188" t="s">
        <v>18</v>
      </c>
    </row>
    <row r="10" spans="1:26">
      <c r="A10" s="343" t="s">
        <v>19</v>
      </c>
    </row>
    <row r="11" spans="1:26">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26">
      <c r="A12" s="371" t="s">
        <v>780</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95" t="s">
        <v>794</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96" t="s">
        <v>968</v>
      </c>
      <c r="V13" s="396" t="s">
        <v>580</v>
      </c>
      <c r="W13" s="397">
        <v>78</v>
      </c>
      <c r="Y13" s="188" t="s">
        <v>241</v>
      </c>
      <c r="Z13" s="188">
        <f>0.001*W13</f>
        <v>7.8E-2</v>
      </c>
    </row>
    <row r="14" spans="1:26">
      <c r="A14" s="395" t="s">
        <v>819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96" t="s">
        <v>969</v>
      </c>
      <c r="V14" s="396" t="s">
        <v>580</v>
      </c>
      <c r="W14" s="397">
        <v>98</v>
      </c>
      <c r="Y14" s="188" t="s">
        <v>241</v>
      </c>
      <c r="Z14" s="188">
        <f>0.001*W14</f>
        <v>9.8000000000000004E-2</v>
      </c>
    </row>
    <row r="15" spans="1:26">
      <c r="A15" s="94" t="s">
        <v>835</v>
      </c>
      <c r="B15" s="188">
        <f t="shared" si="0"/>
        <v>3.85</v>
      </c>
      <c r="C15" s="188" t="s">
        <v>37</v>
      </c>
      <c r="D15" s="188" t="s">
        <v>40</v>
      </c>
      <c r="E15" s="188" t="s">
        <v>29</v>
      </c>
      <c r="F15" s="37" t="s">
        <v>59</v>
      </c>
      <c r="G15" s="188" t="s">
        <v>33</v>
      </c>
      <c r="H15" s="188">
        <v>1</v>
      </c>
      <c r="I15" s="188">
        <f t="shared" si="1"/>
        <v>3.85</v>
      </c>
      <c r="J15" s="188" t="s">
        <v>31</v>
      </c>
      <c r="K15" s="188" t="s">
        <v>31</v>
      </c>
      <c r="L15" s="188" t="s">
        <v>31</v>
      </c>
      <c r="M15" s="188" t="s">
        <v>31</v>
      </c>
      <c r="U15" s="396" t="s">
        <v>970</v>
      </c>
      <c r="V15" s="396" t="s">
        <v>241</v>
      </c>
      <c r="W15" s="397">
        <v>3.85</v>
      </c>
      <c r="Y15" s="188" t="s">
        <v>241</v>
      </c>
      <c r="Z15" s="188">
        <f>W15</f>
        <v>3.85</v>
      </c>
    </row>
    <row r="16" spans="1:26">
      <c r="A16" s="395" t="s">
        <v>1216</v>
      </c>
      <c r="B16" s="188">
        <f t="shared" si="0"/>
        <v>6.4</v>
      </c>
      <c r="C16" s="188" t="s">
        <v>37</v>
      </c>
      <c r="D16" s="188" t="s">
        <v>2</v>
      </c>
      <c r="E16" s="188" t="s">
        <v>29</v>
      </c>
      <c r="F16" s="37" t="s">
        <v>14</v>
      </c>
      <c r="G16" s="188" t="s">
        <v>33</v>
      </c>
      <c r="H16" s="188">
        <v>1</v>
      </c>
      <c r="I16" s="188">
        <f t="shared" si="1"/>
        <v>6.4</v>
      </c>
      <c r="J16" s="188" t="s">
        <v>31</v>
      </c>
      <c r="K16" s="188" t="s">
        <v>31</v>
      </c>
      <c r="L16" s="188" t="s">
        <v>31</v>
      </c>
      <c r="M16" s="188" t="s">
        <v>31</v>
      </c>
      <c r="U16" s="396" t="s">
        <v>972</v>
      </c>
      <c r="V16" s="396" t="s">
        <v>241</v>
      </c>
      <c r="W16" s="397">
        <v>6.4</v>
      </c>
      <c r="Y16" s="188" t="s">
        <v>241</v>
      </c>
      <c r="Z16" s="188">
        <f>W16</f>
        <v>6.4</v>
      </c>
    </row>
    <row r="17" spans="1:29">
      <c r="A17" s="95" t="s">
        <v>1217</v>
      </c>
      <c r="B17" s="188">
        <f t="shared" si="0"/>
        <v>3.6029411764705886E-2</v>
      </c>
      <c r="C17" s="188" t="s">
        <v>609</v>
      </c>
      <c r="D17" s="188" t="s">
        <v>2</v>
      </c>
      <c r="E17" s="188" t="s">
        <v>29</v>
      </c>
      <c r="F17" s="37" t="s">
        <v>14</v>
      </c>
      <c r="G17" s="188" t="s">
        <v>33</v>
      </c>
      <c r="H17" s="188">
        <v>1</v>
      </c>
      <c r="I17" s="188">
        <f t="shared" si="1"/>
        <v>3.6029411764705886E-2</v>
      </c>
      <c r="J17" s="188" t="s">
        <v>31</v>
      </c>
      <c r="K17" s="188" t="s">
        <v>31</v>
      </c>
      <c r="L17" s="188" t="s">
        <v>31</v>
      </c>
      <c r="M17" s="188" t="s">
        <v>31</v>
      </c>
      <c r="O17" s="188" t="s">
        <v>974</v>
      </c>
      <c r="U17" s="459" t="s">
        <v>975</v>
      </c>
      <c r="V17" s="459" t="s">
        <v>580</v>
      </c>
      <c r="W17" s="397">
        <v>245</v>
      </c>
      <c r="Y17" s="188" t="s">
        <v>610</v>
      </c>
      <c r="Z17" s="188">
        <f>W17*0.001*AB17</f>
        <v>3.6029411764705886E-2</v>
      </c>
      <c r="AB17" s="188">
        <f>'2E. Reusable'!O36</f>
        <v>0.14705882352941177</v>
      </c>
      <c r="AC17" s="188" t="s">
        <v>838</v>
      </c>
    </row>
    <row r="18" spans="1:29">
      <c r="A18" s="395" t="s">
        <v>1218</v>
      </c>
      <c r="B18" s="188">
        <f t="shared" si="0"/>
        <v>0.40500000000000003</v>
      </c>
      <c r="C18" s="188" t="s">
        <v>37</v>
      </c>
      <c r="D18" s="188" t="s">
        <v>2</v>
      </c>
      <c r="E18" s="188" t="s">
        <v>29</v>
      </c>
      <c r="F18" s="37" t="s">
        <v>14</v>
      </c>
      <c r="G18" s="188" t="s">
        <v>33</v>
      </c>
      <c r="H18" s="188">
        <v>1</v>
      </c>
      <c r="I18" s="188">
        <f t="shared" si="1"/>
        <v>0.40500000000000003</v>
      </c>
      <c r="J18" s="188" t="s">
        <v>31</v>
      </c>
      <c r="K18" s="188" t="s">
        <v>31</v>
      </c>
      <c r="L18" s="188" t="s">
        <v>31</v>
      </c>
      <c r="M18" s="188" t="s">
        <v>31</v>
      </c>
      <c r="U18" s="459" t="s">
        <v>977</v>
      </c>
      <c r="V18" s="396" t="s">
        <v>580</v>
      </c>
      <c r="W18" s="397">
        <v>405</v>
      </c>
      <c r="Y18" s="188" t="s">
        <v>241</v>
      </c>
      <c r="Z18" s="188">
        <f>0.001*W18</f>
        <v>0.40500000000000003</v>
      </c>
    </row>
    <row r="19" spans="1:29">
      <c r="A19" s="97" t="s">
        <v>840</v>
      </c>
      <c r="B19" s="188">
        <f t="shared" si="0"/>
        <v>2E-3</v>
      </c>
      <c r="C19" s="188" t="s">
        <v>37</v>
      </c>
      <c r="D19" s="188" t="s">
        <v>40</v>
      </c>
      <c r="E19" s="188" t="s">
        <v>29</v>
      </c>
      <c r="F19" s="37" t="s">
        <v>35</v>
      </c>
      <c r="G19" s="188" t="s">
        <v>33</v>
      </c>
      <c r="H19" s="188">
        <v>1</v>
      </c>
      <c r="I19" s="188">
        <f t="shared" si="1"/>
        <v>2E-3</v>
      </c>
      <c r="J19" s="188" t="s">
        <v>31</v>
      </c>
      <c r="K19" s="188" t="s">
        <v>31</v>
      </c>
      <c r="L19" s="188" t="s">
        <v>31</v>
      </c>
      <c r="M19" s="188" t="s">
        <v>31</v>
      </c>
      <c r="N19" s="346" t="s">
        <v>841</v>
      </c>
      <c r="U19" s="396" t="s">
        <v>841</v>
      </c>
      <c r="V19" s="396" t="s">
        <v>580</v>
      </c>
      <c r="W19" s="397">
        <v>2</v>
      </c>
      <c r="Y19" s="188" t="s">
        <v>241</v>
      </c>
      <c r="Z19" s="188">
        <f>0.001*W19</f>
        <v>2E-3</v>
      </c>
    </row>
    <row r="20" spans="1:29">
      <c r="A20" s="98" t="s">
        <v>179</v>
      </c>
      <c r="B20" s="188">
        <f t="shared" si="0"/>
        <v>1.3000000000000001E-2</v>
      </c>
      <c r="C20" s="188" t="s">
        <v>37</v>
      </c>
      <c r="D20" s="188" t="s">
        <v>40</v>
      </c>
      <c r="E20" s="188" t="s">
        <v>29</v>
      </c>
      <c r="F20" s="37" t="s">
        <v>35</v>
      </c>
      <c r="G20" s="188" t="s">
        <v>33</v>
      </c>
      <c r="H20" s="188">
        <v>1</v>
      </c>
      <c r="I20" s="188">
        <f t="shared" si="1"/>
        <v>1.3000000000000001E-2</v>
      </c>
      <c r="J20" s="188" t="s">
        <v>31</v>
      </c>
      <c r="K20" s="188" t="s">
        <v>31</v>
      </c>
      <c r="L20" s="188" t="s">
        <v>31</v>
      </c>
      <c r="M20" s="188" t="s">
        <v>31</v>
      </c>
      <c r="N20" s="346" t="s">
        <v>842</v>
      </c>
      <c r="U20" s="459" t="s">
        <v>842</v>
      </c>
      <c r="V20" s="396" t="s">
        <v>580</v>
      </c>
      <c r="W20" s="397">
        <v>13</v>
      </c>
      <c r="Y20" s="188" t="s">
        <v>241</v>
      </c>
      <c r="Z20" s="188">
        <f t="shared" ref="Z20:Z22" si="2">0.001*W20</f>
        <v>1.3000000000000001E-2</v>
      </c>
    </row>
    <row r="21" spans="1:29">
      <c r="A21" s="97" t="s">
        <v>840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46" t="s">
        <v>843</v>
      </c>
      <c r="U21" s="459" t="s">
        <v>843</v>
      </c>
      <c r="V21" s="396" t="s">
        <v>580</v>
      </c>
      <c r="W21" s="397">
        <v>2</v>
      </c>
      <c r="Y21" s="188" t="s">
        <v>241</v>
      </c>
      <c r="Z21" s="188">
        <f t="shared" si="2"/>
        <v>2E-3</v>
      </c>
    </row>
    <row r="22" spans="1:29">
      <c r="A22" s="98" t="s">
        <v>978</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46" t="s">
        <v>843</v>
      </c>
      <c r="U22" s="459" t="s">
        <v>843</v>
      </c>
      <c r="V22" s="396" t="s">
        <v>580</v>
      </c>
      <c r="W22" s="397">
        <v>2</v>
      </c>
      <c r="Y22" s="188" t="s">
        <v>241</v>
      </c>
      <c r="Z22" s="188">
        <f t="shared" si="2"/>
        <v>2E-3</v>
      </c>
    </row>
    <row r="23" spans="1:29">
      <c r="A23" s="94" t="s">
        <v>1219</v>
      </c>
      <c r="B23" s="188">
        <f t="shared" si="0"/>
        <v>8.19</v>
      </c>
      <c r="C23" s="188" t="s">
        <v>37</v>
      </c>
      <c r="D23" s="188" t="s">
        <v>2</v>
      </c>
      <c r="E23" s="188" t="s">
        <v>29</v>
      </c>
      <c r="F23" s="37" t="s">
        <v>14</v>
      </c>
      <c r="G23" s="188" t="s">
        <v>33</v>
      </c>
      <c r="H23" s="188">
        <v>1</v>
      </c>
      <c r="I23" s="188">
        <f t="shared" si="1"/>
        <v>8.19</v>
      </c>
      <c r="J23" s="188" t="s">
        <v>31</v>
      </c>
      <c r="K23" s="188" t="s">
        <v>31</v>
      </c>
      <c r="L23" s="188" t="s">
        <v>31</v>
      </c>
      <c r="M23" s="188" t="s">
        <v>31</v>
      </c>
      <c r="N23" s="346" t="s">
        <v>980</v>
      </c>
      <c r="U23" s="396" t="s">
        <v>980</v>
      </c>
      <c r="V23" s="396" t="s">
        <v>241</v>
      </c>
      <c r="W23" s="397">
        <v>8.19</v>
      </c>
      <c r="Y23" s="188" t="s">
        <v>241</v>
      </c>
      <c r="Z23" s="188">
        <f>W23</f>
        <v>8.19</v>
      </c>
    </row>
    <row r="24" spans="1:29">
      <c r="A24" s="395" t="s">
        <v>1220</v>
      </c>
      <c r="B24" s="358">
        <f>'2E. Machined casing'!B7</f>
        <v>16</v>
      </c>
      <c r="C24" s="188" t="s">
        <v>37</v>
      </c>
      <c r="D24" s="188" t="s">
        <v>2</v>
      </c>
      <c r="E24" s="188" t="s">
        <v>29</v>
      </c>
      <c r="F24" s="37" t="s">
        <v>14</v>
      </c>
      <c r="G24" s="188" t="s">
        <v>33</v>
      </c>
      <c r="H24" s="188">
        <v>1</v>
      </c>
      <c r="I24" s="188">
        <f t="shared" si="1"/>
        <v>16</v>
      </c>
      <c r="J24" s="188" t="s">
        <v>31</v>
      </c>
      <c r="K24" s="188" t="s">
        <v>31</v>
      </c>
      <c r="L24" s="188" t="s">
        <v>31</v>
      </c>
      <c r="M24" s="188" t="s">
        <v>31</v>
      </c>
      <c r="N24" s="346" t="s">
        <v>846</v>
      </c>
      <c r="U24" s="396" t="s">
        <v>982</v>
      </c>
      <c r="V24" s="400" t="s">
        <v>241</v>
      </c>
      <c r="W24" s="397">
        <v>16.13</v>
      </c>
      <c r="Y24" s="188" t="s">
        <v>241</v>
      </c>
      <c r="Z24" s="188">
        <f t="shared" ref="Z24" si="3">W24</f>
        <v>16.13</v>
      </c>
    </row>
    <row r="25" spans="1:29">
      <c r="A25" s="100" t="s">
        <v>848</v>
      </c>
      <c r="B25" s="188">
        <f t="shared" si="0"/>
        <v>0.115</v>
      </c>
      <c r="C25" s="188" t="s">
        <v>37</v>
      </c>
      <c r="D25" s="188" t="s">
        <v>40</v>
      </c>
      <c r="E25" s="188" t="s">
        <v>29</v>
      </c>
      <c r="F25" s="37" t="s">
        <v>82</v>
      </c>
      <c r="G25" s="188" t="s">
        <v>33</v>
      </c>
      <c r="H25" s="188">
        <v>1</v>
      </c>
      <c r="I25" s="188">
        <f t="shared" si="1"/>
        <v>0.115</v>
      </c>
      <c r="J25" s="188" t="s">
        <v>31</v>
      </c>
      <c r="K25" s="188" t="s">
        <v>31</v>
      </c>
      <c r="L25" s="188" t="s">
        <v>31</v>
      </c>
      <c r="M25" s="188" t="s">
        <v>31</v>
      </c>
      <c r="N25" s="346" t="s">
        <v>849</v>
      </c>
      <c r="U25" s="401" t="s">
        <v>849</v>
      </c>
      <c r="V25" s="401" t="s">
        <v>580</v>
      </c>
      <c r="W25" s="402">
        <v>115</v>
      </c>
      <c r="Y25" s="188" t="s">
        <v>241</v>
      </c>
      <c r="Z25" s="188">
        <f t="shared" ref="Z25:Z27" si="4">0.001*W25</f>
        <v>0.115</v>
      </c>
    </row>
    <row r="26" spans="1:29">
      <c r="A26" s="100" t="s">
        <v>850</v>
      </c>
      <c r="B26" s="188">
        <f t="shared" si="0"/>
        <v>2.5000000000000001E-2</v>
      </c>
      <c r="C26" s="188" t="s">
        <v>37</v>
      </c>
      <c r="D26" s="188" t="s">
        <v>40</v>
      </c>
      <c r="E26" s="188" t="s">
        <v>29</v>
      </c>
      <c r="F26" s="37" t="s">
        <v>59</v>
      </c>
      <c r="G26" s="188" t="s">
        <v>33</v>
      </c>
      <c r="H26" s="188">
        <v>1</v>
      </c>
      <c r="I26" s="188">
        <f t="shared" si="1"/>
        <v>2.5000000000000001E-2</v>
      </c>
      <c r="J26" s="188" t="s">
        <v>31</v>
      </c>
      <c r="K26" s="188" t="s">
        <v>31</v>
      </c>
      <c r="L26" s="188" t="s">
        <v>31</v>
      </c>
      <c r="M26" s="188" t="s">
        <v>31</v>
      </c>
      <c r="N26" s="188" t="s">
        <v>851</v>
      </c>
      <c r="U26" s="401" t="s">
        <v>851</v>
      </c>
      <c r="V26" s="401" t="s">
        <v>580</v>
      </c>
      <c r="W26" s="402">
        <v>25</v>
      </c>
      <c r="Y26" s="188" t="s">
        <v>241</v>
      </c>
      <c r="Z26" s="188">
        <f t="shared" si="4"/>
        <v>2.5000000000000001E-2</v>
      </c>
    </row>
    <row r="27" spans="1:29">
      <c r="A27" s="100" t="s">
        <v>179</v>
      </c>
      <c r="B27" s="188">
        <f t="shared" si="0"/>
        <v>2.5000000000000001E-2</v>
      </c>
      <c r="C27" s="188" t="s">
        <v>37</v>
      </c>
      <c r="D27" s="188" t="s">
        <v>40</v>
      </c>
      <c r="E27" s="188" t="s">
        <v>29</v>
      </c>
      <c r="F27" s="37" t="s">
        <v>35</v>
      </c>
      <c r="G27" s="188" t="s">
        <v>33</v>
      </c>
      <c r="H27" s="188">
        <v>1</v>
      </c>
      <c r="I27" s="188">
        <f t="shared" si="1"/>
        <v>2.5000000000000001E-2</v>
      </c>
      <c r="J27" s="188" t="s">
        <v>31</v>
      </c>
      <c r="K27" s="188" t="s">
        <v>31</v>
      </c>
      <c r="L27" s="188" t="s">
        <v>31</v>
      </c>
      <c r="M27" s="188" t="s">
        <v>31</v>
      </c>
      <c r="N27" s="188" t="s">
        <v>852</v>
      </c>
      <c r="U27" s="401" t="s">
        <v>852</v>
      </c>
      <c r="V27" s="401" t="s">
        <v>580</v>
      </c>
      <c r="W27" s="402">
        <v>25</v>
      </c>
      <c r="Y27" s="188" t="s">
        <v>241</v>
      </c>
      <c r="Z27" s="188">
        <f t="shared" si="4"/>
        <v>2.5000000000000001E-2</v>
      </c>
    </row>
    <row r="28" spans="1:29">
      <c r="A28" s="500" t="s">
        <v>269</v>
      </c>
      <c r="B28" s="188">
        <f>2.6+0.6</f>
        <v>3.2</v>
      </c>
      <c r="C28" s="188" t="s">
        <v>39</v>
      </c>
      <c r="D28" s="188" t="s">
        <v>40</v>
      </c>
      <c r="E28" s="188" t="s">
        <v>29</v>
      </c>
      <c r="F28" s="188" t="s">
        <v>14</v>
      </c>
      <c r="G28" s="188" t="s">
        <v>33</v>
      </c>
      <c r="H28" s="188">
        <v>1</v>
      </c>
      <c r="I28" s="188">
        <f t="shared" si="1"/>
        <v>3.2</v>
      </c>
      <c r="J28" s="188" t="s">
        <v>31</v>
      </c>
      <c r="K28" s="188" t="s">
        <v>31</v>
      </c>
      <c r="L28" s="188" t="s">
        <v>31</v>
      </c>
      <c r="M28" s="188" t="s">
        <v>31</v>
      </c>
      <c r="N28" s="188" t="s">
        <v>983</v>
      </c>
      <c r="U28" s="396"/>
      <c r="V28" s="400"/>
      <c r="W28" s="397"/>
    </row>
    <row r="29" spans="1:29">
      <c r="A29" s="500" t="s">
        <v>269</v>
      </c>
      <c r="B29" s="188">
        <v>9.9</v>
      </c>
      <c r="C29" s="188" t="s">
        <v>39</v>
      </c>
      <c r="D29" s="188" t="s">
        <v>40</v>
      </c>
      <c r="E29" s="188" t="s">
        <v>29</v>
      </c>
      <c r="F29" s="188" t="s">
        <v>14</v>
      </c>
      <c r="G29" s="188" t="s">
        <v>33</v>
      </c>
      <c r="H29" s="188">
        <v>1</v>
      </c>
      <c r="I29" s="188">
        <f t="shared" si="1"/>
        <v>9.9</v>
      </c>
      <c r="J29" s="188" t="s">
        <v>31</v>
      </c>
      <c r="K29" s="188" t="s">
        <v>31</v>
      </c>
      <c r="L29" s="188" t="s">
        <v>31</v>
      </c>
      <c r="M29" s="188" t="s">
        <v>31</v>
      </c>
      <c r="N29" s="188" t="s">
        <v>854</v>
      </c>
    </row>
    <row r="30" spans="1:29">
      <c r="A30" s="500" t="s">
        <v>269</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855</v>
      </c>
    </row>
    <row r="31" spans="1:29">
      <c r="A31" s="370"/>
      <c r="B31" s="371"/>
      <c r="C31" s="372"/>
      <c r="D31" s="353"/>
      <c r="E31" s="353"/>
      <c r="F31" s="353"/>
      <c r="G31" s="353"/>
      <c r="H31" s="353"/>
      <c r="I31" s="353"/>
      <c r="J31" s="353"/>
      <c r="K31" s="353"/>
      <c r="L31" s="353"/>
      <c r="M31" s="353"/>
    </row>
    <row r="32" spans="1:29">
      <c r="A32" s="346"/>
      <c r="C32" s="345"/>
      <c r="N32" s="188" t="s">
        <v>1221</v>
      </c>
    </row>
    <row r="33" spans="1:14">
      <c r="A33" s="346"/>
      <c r="C33" s="345"/>
      <c r="N33" s="408">
        <f>SUM(B14:B27)-B17+0.245</f>
        <v>35.371999999999993</v>
      </c>
    </row>
    <row r="34" spans="1:14">
      <c r="A34" s="346"/>
      <c r="B34" s="347"/>
    </row>
    <row r="36" spans="1:14">
      <c r="A36" s="346"/>
    </row>
    <row r="38" spans="1:14">
      <c r="A38" s="192"/>
      <c r="F38" s="37"/>
    </row>
    <row r="39" spans="1:14">
      <c r="A39" s="343"/>
    </row>
    <row r="40" spans="1:14">
      <c r="A40" s="343"/>
      <c r="B40" s="344"/>
      <c r="C40" s="344"/>
      <c r="D40" s="344"/>
      <c r="E40" s="344"/>
      <c r="F40" s="344"/>
      <c r="G40" s="344"/>
      <c r="H40" s="344"/>
      <c r="I40" s="344"/>
      <c r="J40" s="344"/>
      <c r="K40" s="344"/>
      <c r="L40" s="344"/>
      <c r="M40" s="344"/>
      <c r="N40" s="344"/>
    </row>
    <row r="41" spans="1:14">
      <c r="A41" s="346"/>
      <c r="F41" s="37"/>
    </row>
    <row r="42" spans="1:14">
      <c r="A42" s="346"/>
      <c r="B42" s="420"/>
      <c r="F42" s="37"/>
    </row>
    <row r="43" spans="1:14">
      <c r="A43" s="346"/>
      <c r="F43" s="37"/>
    </row>
    <row r="44" spans="1:14">
      <c r="A44" s="346"/>
      <c r="F44" s="37"/>
    </row>
    <row r="45" spans="1:14">
      <c r="A45" s="346"/>
      <c r="F45" s="37"/>
    </row>
    <row r="46" spans="1:14">
      <c r="A46" s="346"/>
      <c r="F46" s="37"/>
    </row>
    <row r="47" spans="1:14">
      <c r="A47" s="346"/>
      <c r="F47" s="37"/>
    </row>
    <row r="48" spans="1:14">
      <c r="A48" s="346"/>
      <c r="F48" s="37"/>
    </row>
    <row r="49" spans="1:6">
      <c r="A49" s="346"/>
      <c r="F49" s="37"/>
    </row>
    <row r="50" spans="1:6">
      <c r="A50" s="346"/>
      <c r="F50" s="37"/>
    </row>
    <row r="51" spans="1:6">
      <c r="A51" s="346"/>
      <c r="F51" s="37"/>
    </row>
    <row r="52" spans="1:6">
      <c r="A52" s="346"/>
      <c r="F52" s="37"/>
    </row>
    <row r="53" spans="1:6">
      <c r="A53" s="346"/>
      <c r="F53" s="37"/>
    </row>
    <row r="54" spans="1:6">
      <c r="A54" s="346"/>
      <c r="F54" s="37"/>
    </row>
    <row r="55" spans="1:6">
      <c r="F55" s="37"/>
    </row>
    <row r="57" spans="1:6">
      <c r="A57" s="346"/>
    </row>
  </sheetData>
  <pageMargins left="0.7" right="0.7" top="0.75" bottom="0.75" header="0.3" footer="0.3"/>
  <pageSetup paperSize="9"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A1044-E51F-4403-BDA6-0DD7AD59369A}">
  <sheetPr>
    <tabColor theme="6" tint="0.79998168889431442"/>
  </sheetPr>
  <dimension ref="A1:U104"/>
  <sheetViews>
    <sheetView topLeftCell="A79" workbookViewId="0">
      <selection activeCell="A12" sqref="A12"/>
    </sheetView>
  </sheetViews>
  <sheetFormatPr defaultColWidth="9.140625" defaultRowHeight="12.95"/>
  <cols>
    <col min="1" max="1" width="52.42578125" style="381" customWidth="1"/>
    <col min="2" max="2" width="17.5703125" style="188" customWidth="1"/>
    <col min="3" max="3" width="13.7109375" style="188" customWidth="1"/>
    <col min="4" max="4" width="39.85546875" style="188" customWidth="1"/>
    <col min="5" max="6" width="9.140625" style="188"/>
    <col min="7" max="7" width="14.85546875" style="188" customWidth="1"/>
    <col min="8" max="16" width="9.140625" style="188"/>
    <col min="17" max="17" width="11.28515625" style="188" bestFit="1" customWidth="1"/>
    <col min="18" max="16384" width="9.140625" style="188"/>
  </cols>
  <sheetData>
    <row r="1" spans="1:21">
      <c r="A1" s="188" t="s">
        <v>0</v>
      </c>
      <c r="B1" s="188">
        <v>13</v>
      </c>
    </row>
    <row r="2" spans="1:21">
      <c r="A2" s="404" t="s">
        <v>5</v>
      </c>
      <c r="B2" s="106" t="s">
        <v>1217</v>
      </c>
      <c r="C2" s="372"/>
      <c r="D2" s="353"/>
      <c r="E2" s="353"/>
      <c r="F2" s="353"/>
      <c r="G2" s="353"/>
      <c r="H2" s="353"/>
      <c r="I2" s="353"/>
      <c r="J2" s="353"/>
      <c r="K2" s="353"/>
      <c r="L2" s="353"/>
      <c r="M2" s="353"/>
      <c r="N2" s="353"/>
      <c r="O2" s="353"/>
      <c r="P2" s="353"/>
      <c r="Q2" s="353"/>
      <c r="R2" s="353"/>
    </row>
    <row r="3" spans="1:21">
      <c r="A3" s="406" t="s">
        <v>7</v>
      </c>
      <c r="B3" s="188" t="s">
        <v>786</v>
      </c>
      <c r="C3" s="345"/>
    </row>
    <row r="4" spans="1:21">
      <c r="A4" s="406" t="s">
        <v>9</v>
      </c>
      <c r="B4" s="188" t="s">
        <v>1222</v>
      </c>
      <c r="C4" s="345"/>
      <c r="U4" s="389"/>
    </row>
    <row r="5" spans="1:21" ht="12.75" customHeight="1">
      <c r="A5" s="406" t="s">
        <v>11</v>
      </c>
      <c r="B5" s="347" t="s">
        <v>796</v>
      </c>
    </row>
    <row r="6" spans="1:21">
      <c r="A6" s="406" t="s">
        <v>13</v>
      </c>
      <c r="B6" s="188" t="s">
        <v>14</v>
      </c>
    </row>
    <row r="7" spans="1:21">
      <c r="A7" s="406" t="s">
        <v>15</v>
      </c>
      <c r="B7" s="188">
        <f>B12</f>
        <v>0.03</v>
      </c>
    </row>
    <row r="8" spans="1:21">
      <c r="A8" s="406" t="s">
        <v>16</v>
      </c>
      <c r="B8" s="188" t="s">
        <v>17</v>
      </c>
    </row>
    <row r="9" spans="1:21">
      <c r="A9" s="406" t="s">
        <v>18</v>
      </c>
      <c r="B9" s="188" t="s">
        <v>609</v>
      </c>
    </row>
    <row r="10" spans="1:21">
      <c r="A10" s="407" t="s">
        <v>19</v>
      </c>
    </row>
    <row r="11" spans="1:21">
      <c r="A11" s="407"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21">
      <c r="A12" s="381" t="s">
        <v>1217</v>
      </c>
      <c r="B12" s="188">
        <v>0.03</v>
      </c>
      <c r="C12" s="188" t="s">
        <v>609</v>
      </c>
      <c r="D12" s="408" t="s">
        <v>2</v>
      </c>
      <c r="E12" s="188" t="s">
        <v>29</v>
      </c>
      <c r="F12" s="37" t="s">
        <v>14</v>
      </c>
      <c r="G12" s="188" t="s">
        <v>30</v>
      </c>
      <c r="H12" s="188">
        <v>1</v>
      </c>
      <c r="I12" s="188">
        <f>B12</f>
        <v>0.03</v>
      </c>
      <c r="J12" s="188" t="s">
        <v>31</v>
      </c>
      <c r="K12" s="188" t="s">
        <v>31</v>
      </c>
      <c r="L12" s="188" t="s">
        <v>31</v>
      </c>
      <c r="M12" s="188" t="s">
        <v>31</v>
      </c>
      <c r="O12" s="409"/>
      <c r="P12" s="410"/>
    </row>
    <row r="13" spans="1:21">
      <c r="A13" s="381" t="s">
        <v>1223</v>
      </c>
      <c r="B13" s="188">
        <f>Q13</f>
        <v>0.20399999999999999</v>
      </c>
      <c r="C13" s="188" t="s">
        <v>37</v>
      </c>
      <c r="D13" s="408" t="s">
        <v>2</v>
      </c>
      <c r="E13" s="188" t="s">
        <v>29</v>
      </c>
      <c r="F13" s="37" t="s">
        <v>14</v>
      </c>
      <c r="G13" s="188" t="s">
        <v>33</v>
      </c>
      <c r="H13" s="188">
        <v>1</v>
      </c>
      <c r="I13" s="188">
        <f t="shared" ref="I13:I14" si="0">B13</f>
        <v>0.20399999999999999</v>
      </c>
      <c r="J13" s="188" t="s">
        <v>31</v>
      </c>
      <c r="K13" s="188" t="s">
        <v>31</v>
      </c>
      <c r="L13" s="188" t="s">
        <v>31</v>
      </c>
      <c r="M13" s="188" t="s">
        <v>31</v>
      </c>
      <c r="O13" s="188">
        <f>O36</f>
        <v>0.14705882352941177</v>
      </c>
      <c r="P13" s="188" t="s">
        <v>838</v>
      </c>
      <c r="Q13" s="188">
        <f>B12/O13</f>
        <v>0.20399999999999999</v>
      </c>
    </row>
    <row r="14" spans="1:21">
      <c r="A14" s="381" t="s">
        <v>1224</v>
      </c>
      <c r="B14" s="188">
        <v>0.02</v>
      </c>
      <c r="C14" s="188" t="s">
        <v>609</v>
      </c>
      <c r="D14" s="408" t="s">
        <v>2</v>
      </c>
      <c r="E14" s="188" t="s">
        <v>29</v>
      </c>
      <c r="F14" s="37" t="s">
        <v>14</v>
      </c>
      <c r="G14" s="188" t="s">
        <v>33</v>
      </c>
      <c r="H14" s="188">
        <v>1</v>
      </c>
      <c r="I14" s="188">
        <f t="shared" si="0"/>
        <v>0.02</v>
      </c>
      <c r="J14" s="188" t="s">
        <v>31</v>
      </c>
      <c r="K14" s="188" t="s">
        <v>31</v>
      </c>
      <c r="L14" s="188" t="s">
        <v>31</v>
      </c>
      <c r="M14" s="188" t="s">
        <v>31</v>
      </c>
    </row>
    <row r="15" spans="1:21" ht="14.45">
      <c r="A15" s="112" t="s">
        <v>799</v>
      </c>
      <c r="B15" s="188">
        <f>P15</f>
        <v>0.2</v>
      </c>
      <c r="C15" s="188" t="s">
        <v>37</v>
      </c>
      <c r="D15" s="188" t="s">
        <v>40</v>
      </c>
      <c r="E15" s="188" t="s">
        <v>29</v>
      </c>
      <c r="F15" s="37" t="s">
        <v>74</v>
      </c>
      <c r="G15" s="188" t="s">
        <v>33</v>
      </c>
      <c r="H15" s="188">
        <v>2</v>
      </c>
      <c r="I15" s="188">
        <f>LN(B15)</f>
        <v>-1.6094379124341003</v>
      </c>
      <c r="J15" s="464">
        <v>0.11236102527122109</v>
      </c>
      <c r="K15" s="188" t="s">
        <v>31</v>
      </c>
      <c r="L15" s="188" t="s">
        <v>31</v>
      </c>
      <c r="M15" s="188" t="s">
        <v>31</v>
      </c>
      <c r="O15" s="401" t="s">
        <v>241</v>
      </c>
      <c r="P15" s="114">
        <v>0.2</v>
      </c>
    </row>
    <row r="16" spans="1:21" ht="14.45">
      <c r="A16" s="112" t="s">
        <v>862</v>
      </c>
      <c r="B16" s="415">
        <f>Q16</f>
        <v>1.2E-8</v>
      </c>
      <c r="C16" s="188" t="s">
        <v>37</v>
      </c>
      <c r="D16" s="188" t="s">
        <v>40</v>
      </c>
      <c r="E16" s="188" t="s">
        <v>29</v>
      </c>
      <c r="F16" s="37" t="s">
        <v>59</v>
      </c>
      <c r="G16" s="188" t="s">
        <v>33</v>
      </c>
      <c r="H16" s="188">
        <v>2</v>
      </c>
      <c r="I16" s="188">
        <f t="shared" ref="I16:I17" si="1">LN(B16)</f>
        <v>-18.238359187158412</v>
      </c>
      <c r="J16" s="464">
        <v>0.11236102527122109</v>
      </c>
      <c r="K16" s="188" t="s">
        <v>31</v>
      </c>
      <c r="L16" s="188" t="s">
        <v>31</v>
      </c>
      <c r="M16" s="188" t="s">
        <v>31</v>
      </c>
      <c r="O16" s="416" t="s">
        <v>538</v>
      </c>
      <c r="P16" s="117">
        <v>1.2E-2</v>
      </c>
      <c r="Q16" s="415">
        <f>P16*10^(-6)</f>
        <v>1.2E-8</v>
      </c>
      <c r="R16" s="188" t="s">
        <v>37</v>
      </c>
    </row>
    <row r="17" spans="1:18" ht="14.45">
      <c r="A17" s="112" t="s">
        <v>76</v>
      </c>
      <c r="B17" s="188">
        <f>Q17</f>
        <v>2.0000000000000001E-4</v>
      </c>
      <c r="C17" s="188" t="s">
        <v>42</v>
      </c>
      <c r="D17" s="188" t="s">
        <v>40</v>
      </c>
      <c r="E17" s="188" t="s">
        <v>29</v>
      </c>
      <c r="F17" s="37" t="s">
        <v>74</v>
      </c>
      <c r="G17" s="188" t="s">
        <v>33</v>
      </c>
      <c r="H17" s="188">
        <v>2</v>
      </c>
      <c r="I17" s="188">
        <f t="shared" si="1"/>
        <v>-8.5171931914162382</v>
      </c>
      <c r="J17" s="464">
        <v>0.11236102527122109</v>
      </c>
      <c r="K17" s="188" t="s">
        <v>31</v>
      </c>
      <c r="L17" s="188" t="s">
        <v>31</v>
      </c>
      <c r="M17" s="188" t="s">
        <v>31</v>
      </c>
      <c r="O17" s="418" t="s">
        <v>863</v>
      </c>
      <c r="P17" s="119">
        <v>0.2</v>
      </c>
      <c r="Q17" s="188">
        <f>P17/1000</f>
        <v>2.0000000000000001E-4</v>
      </c>
      <c r="R17" s="188" t="s">
        <v>864</v>
      </c>
    </row>
    <row r="18" spans="1:18">
      <c r="A18" s="404" t="s">
        <v>5</v>
      </c>
      <c r="B18" s="106" t="s">
        <v>1223</v>
      </c>
      <c r="C18" s="372"/>
      <c r="D18" s="353"/>
      <c r="E18" s="353"/>
      <c r="F18" s="353"/>
      <c r="G18" s="353"/>
      <c r="H18" s="353"/>
      <c r="I18" s="353"/>
      <c r="J18" s="353"/>
      <c r="K18" s="353"/>
      <c r="L18" s="353"/>
      <c r="M18" s="353"/>
      <c r="N18" s="353"/>
      <c r="O18" s="353"/>
      <c r="P18" s="353"/>
      <c r="Q18" s="353"/>
      <c r="R18" s="353"/>
    </row>
    <row r="19" spans="1:18">
      <c r="A19" s="406" t="s">
        <v>7</v>
      </c>
      <c r="B19" s="188" t="s">
        <v>786</v>
      </c>
      <c r="C19" s="345"/>
    </row>
    <row r="20" spans="1:18">
      <c r="A20" s="406" t="s">
        <v>9</v>
      </c>
      <c r="B20" s="188" t="s">
        <v>1225</v>
      </c>
      <c r="C20" s="345"/>
    </row>
    <row r="21" spans="1:18" ht="10.5" customHeight="1">
      <c r="A21" s="406" t="s">
        <v>11</v>
      </c>
      <c r="B21" s="347" t="s">
        <v>796</v>
      </c>
      <c r="P21" s="421"/>
    </row>
    <row r="22" spans="1:18">
      <c r="A22" s="406" t="s">
        <v>13</v>
      </c>
      <c r="B22" s="188" t="s">
        <v>14</v>
      </c>
      <c r="P22" s="421"/>
    </row>
    <row r="23" spans="1:18">
      <c r="A23" s="406" t="s">
        <v>15</v>
      </c>
      <c r="B23" s="188">
        <f>B28</f>
        <v>8.0000000000000002E-3</v>
      </c>
      <c r="P23" s="421"/>
    </row>
    <row r="24" spans="1:18">
      <c r="A24" s="406" t="s">
        <v>16</v>
      </c>
      <c r="B24" s="188" t="s">
        <v>17</v>
      </c>
    </row>
    <row r="25" spans="1:18">
      <c r="A25" s="406" t="s">
        <v>18</v>
      </c>
      <c r="B25" s="188" t="s">
        <v>37</v>
      </c>
    </row>
    <row r="26" spans="1:18">
      <c r="A26" s="407" t="s">
        <v>19</v>
      </c>
    </row>
    <row r="27" spans="1:18">
      <c r="A27" s="407"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row>
    <row r="28" spans="1:18">
      <c r="A28" s="381" t="s">
        <v>1223</v>
      </c>
      <c r="B28" s="188">
        <v>8.0000000000000002E-3</v>
      </c>
      <c r="C28" s="188" t="s">
        <v>37</v>
      </c>
      <c r="D28" s="408" t="s">
        <v>2</v>
      </c>
      <c r="E28" s="188" t="s">
        <v>29</v>
      </c>
      <c r="F28" s="37" t="s">
        <v>14</v>
      </c>
      <c r="G28" s="188" t="s">
        <v>30</v>
      </c>
      <c r="H28" s="188">
        <v>1</v>
      </c>
      <c r="I28" s="188">
        <f>B28</f>
        <v>8.0000000000000002E-3</v>
      </c>
      <c r="J28" s="188" t="s">
        <v>31</v>
      </c>
      <c r="K28" s="188" t="s">
        <v>31</v>
      </c>
      <c r="L28" s="188" t="s">
        <v>31</v>
      </c>
      <c r="M28" s="188" t="s">
        <v>31</v>
      </c>
    </row>
    <row r="29" spans="1:18" ht="14.45">
      <c r="A29" s="112" t="s">
        <v>862</v>
      </c>
      <c r="B29" s="415">
        <f>R29</f>
        <v>8.6E-3</v>
      </c>
      <c r="C29" s="188" t="s">
        <v>37</v>
      </c>
      <c r="D29" s="188" t="s">
        <v>40</v>
      </c>
      <c r="E29" s="188" t="s">
        <v>29</v>
      </c>
      <c r="F29" s="37" t="s">
        <v>59</v>
      </c>
      <c r="G29" s="188" t="s">
        <v>33</v>
      </c>
      <c r="H29" s="188">
        <v>2</v>
      </c>
      <c r="I29" s="188">
        <f t="shared" ref="I29:I31" si="2">LN(B29)</f>
        <v>-4.7559930757226754</v>
      </c>
      <c r="J29" s="464">
        <v>0.11236102527122109</v>
      </c>
      <c r="K29" s="188" t="s">
        <v>31</v>
      </c>
      <c r="L29" s="188" t="s">
        <v>31</v>
      </c>
      <c r="M29" s="188" t="s">
        <v>31</v>
      </c>
      <c r="O29" s="401" t="s">
        <v>580</v>
      </c>
      <c r="P29" s="114">
        <v>8.6</v>
      </c>
      <c r="Q29" s="188" t="s">
        <v>241</v>
      </c>
      <c r="R29" s="188">
        <f>P29*0.001</f>
        <v>8.6E-3</v>
      </c>
    </row>
    <row r="30" spans="1:18" ht="14.45">
      <c r="A30" s="406" t="s">
        <v>269</v>
      </c>
      <c r="B30" s="350">
        <f>P30</f>
        <v>0.04</v>
      </c>
      <c r="C30" s="188" t="s">
        <v>39</v>
      </c>
      <c r="D30" s="188" t="s">
        <v>40</v>
      </c>
      <c r="E30" s="188" t="s">
        <v>29</v>
      </c>
      <c r="F30" s="37" t="s">
        <v>35</v>
      </c>
      <c r="G30" s="188" t="s">
        <v>33</v>
      </c>
      <c r="H30" s="188">
        <v>2</v>
      </c>
      <c r="I30" s="188">
        <f t="shared" si="2"/>
        <v>-3.2188758248682006</v>
      </c>
      <c r="J30" s="464">
        <v>0.11236102527122109</v>
      </c>
      <c r="K30" s="188" t="s">
        <v>31</v>
      </c>
      <c r="L30" s="188" t="s">
        <v>31</v>
      </c>
      <c r="M30" s="188" t="s">
        <v>31</v>
      </c>
      <c r="O30" s="401" t="s">
        <v>248</v>
      </c>
      <c r="P30" s="114">
        <v>0.04</v>
      </c>
    </row>
    <row r="31" spans="1:18" ht="14.45">
      <c r="A31" s="112" t="s">
        <v>866</v>
      </c>
      <c r="B31" s="188">
        <f>R31</f>
        <v>4.0000000000000002E-4</v>
      </c>
      <c r="C31" s="188" t="s">
        <v>37</v>
      </c>
      <c r="D31" s="188" t="s">
        <v>43</v>
      </c>
      <c r="E31" s="188" t="s">
        <v>867</v>
      </c>
      <c r="F31" s="37" t="s">
        <v>29</v>
      </c>
      <c r="G31" s="188" t="s">
        <v>45</v>
      </c>
      <c r="H31" s="188">
        <v>2</v>
      </c>
      <c r="I31" s="188">
        <f t="shared" si="2"/>
        <v>-7.8240460108562919</v>
      </c>
      <c r="J31" s="464">
        <v>0.11236102527122109</v>
      </c>
      <c r="K31" s="188" t="s">
        <v>31</v>
      </c>
      <c r="L31" s="188" t="s">
        <v>31</v>
      </c>
      <c r="M31" s="188" t="s">
        <v>31</v>
      </c>
      <c r="O31" s="418" t="s">
        <v>580</v>
      </c>
      <c r="P31" s="119">
        <v>0.4</v>
      </c>
      <c r="Q31" s="188" t="s">
        <v>241</v>
      </c>
      <c r="R31" s="188">
        <f>P31*0.001</f>
        <v>4.0000000000000002E-4</v>
      </c>
    </row>
    <row r="32" spans="1:18">
      <c r="A32" s="404" t="s">
        <v>5</v>
      </c>
      <c r="B32" s="371" t="s">
        <v>1224</v>
      </c>
      <c r="C32" s="372"/>
      <c r="D32" s="353"/>
      <c r="E32" s="353"/>
      <c r="F32" s="353"/>
      <c r="G32" s="353"/>
      <c r="H32" s="353"/>
      <c r="I32" s="353"/>
      <c r="J32" s="353"/>
      <c r="K32" s="353"/>
      <c r="L32" s="353"/>
      <c r="M32" s="353"/>
      <c r="N32" s="353"/>
      <c r="O32" s="353"/>
      <c r="P32" s="353"/>
      <c r="Q32" s="353"/>
      <c r="R32" s="353"/>
    </row>
    <row r="33" spans="1:21">
      <c r="A33" s="406" t="s">
        <v>7</v>
      </c>
      <c r="B33" s="188" t="s">
        <v>786</v>
      </c>
      <c r="C33" s="345"/>
    </row>
    <row r="34" spans="1:21">
      <c r="A34" s="406" t="s">
        <v>9</v>
      </c>
      <c r="B34" s="188" t="s">
        <v>1226</v>
      </c>
      <c r="C34" s="345"/>
    </row>
    <row r="35" spans="1:21" ht="15.75" customHeight="1">
      <c r="A35" s="406" t="s">
        <v>11</v>
      </c>
      <c r="B35" s="347" t="s">
        <v>796</v>
      </c>
      <c r="O35" s="188" t="s">
        <v>1227</v>
      </c>
      <c r="T35" s="389" t="s">
        <v>1228</v>
      </c>
    </row>
    <row r="36" spans="1:21">
      <c r="A36" s="406" t="s">
        <v>13</v>
      </c>
      <c r="B36" s="188" t="s">
        <v>14</v>
      </c>
      <c r="O36" s="188">
        <f>0.05/0.34</f>
        <v>0.14705882352941177</v>
      </c>
      <c r="P36" s="188" t="s">
        <v>838</v>
      </c>
      <c r="T36" s="188">
        <f>0.16/0.25</f>
        <v>0.64</v>
      </c>
      <c r="U36" s="188" t="s">
        <v>891</v>
      </c>
    </row>
    <row r="37" spans="1:21">
      <c r="A37" s="406" t="s">
        <v>15</v>
      </c>
      <c r="B37" s="188">
        <f>B42</f>
        <v>0.05</v>
      </c>
    </row>
    <row r="38" spans="1:21">
      <c r="A38" s="406" t="s">
        <v>16</v>
      </c>
      <c r="B38" s="188" t="s">
        <v>17</v>
      </c>
    </row>
    <row r="39" spans="1:21">
      <c r="A39" s="406" t="s">
        <v>18</v>
      </c>
      <c r="B39" s="188" t="s">
        <v>609</v>
      </c>
    </row>
    <row r="40" spans="1:21">
      <c r="A40" s="407" t="s">
        <v>19</v>
      </c>
    </row>
    <row r="41" spans="1:21">
      <c r="A41" s="407" t="s">
        <v>20</v>
      </c>
      <c r="B41" s="344" t="s">
        <v>21</v>
      </c>
      <c r="C41" s="344" t="s">
        <v>18</v>
      </c>
      <c r="D41" s="344" t="s">
        <v>22</v>
      </c>
      <c r="E41" s="344" t="s">
        <v>7</v>
      </c>
      <c r="F41" s="344" t="s">
        <v>13</v>
      </c>
      <c r="G41" s="344" t="s">
        <v>16</v>
      </c>
      <c r="H41" s="344" t="s">
        <v>23</v>
      </c>
      <c r="I41" s="344" t="s">
        <v>24</v>
      </c>
      <c r="J41" s="344" t="s">
        <v>25</v>
      </c>
      <c r="K41" s="344" t="s">
        <v>26</v>
      </c>
      <c r="L41" s="344" t="s">
        <v>27</v>
      </c>
      <c r="M41" s="344" t="s">
        <v>28</v>
      </c>
      <c r="N41" s="344" t="s">
        <v>11</v>
      </c>
    </row>
    <row r="42" spans="1:21">
      <c r="A42" s="381" t="s">
        <v>1224</v>
      </c>
      <c r="B42" s="188">
        <v>0.05</v>
      </c>
      <c r="C42" s="188" t="s">
        <v>609</v>
      </c>
      <c r="D42" s="408" t="s">
        <v>2</v>
      </c>
      <c r="E42" s="188" t="s">
        <v>29</v>
      </c>
      <c r="F42" s="37" t="s">
        <v>14</v>
      </c>
      <c r="G42" s="188" t="s">
        <v>30</v>
      </c>
      <c r="H42" s="188">
        <v>1</v>
      </c>
      <c r="I42" s="188">
        <f>B42</f>
        <v>0.05</v>
      </c>
      <c r="J42" s="188" t="s">
        <v>31</v>
      </c>
      <c r="K42" s="188" t="s">
        <v>31</v>
      </c>
      <c r="L42" s="188" t="s">
        <v>31</v>
      </c>
      <c r="M42" s="188" t="s">
        <v>31</v>
      </c>
    </row>
    <row r="43" spans="1:21">
      <c r="A43" s="381" t="s">
        <v>1229</v>
      </c>
      <c r="B43" s="415">
        <f>B68</f>
        <v>0.34</v>
      </c>
      <c r="C43" s="188" t="s">
        <v>37</v>
      </c>
      <c r="D43" s="408" t="s">
        <v>2</v>
      </c>
      <c r="E43" s="188" t="s">
        <v>29</v>
      </c>
      <c r="F43" s="37" t="s">
        <v>14</v>
      </c>
      <c r="G43" s="188" t="s">
        <v>33</v>
      </c>
      <c r="H43" s="188">
        <v>1</v>
      </c>
      <c r="I43" s="188">
        <f>B43</f>
        <v>0.34</v>
      </c>
      <c r="J43" s="188" t="s">
        <v>31</v>
      </c>
      <c r="K43" s="188" t="s">
        <v>31</v>
      </c>
      <c r="L43" s="188" t="s">
        <v>31</v>
      </c>
      <c r="M43" s="188" t="s">
        <v>31</v>
      </c>
      <c r="O43" s="401"/>
      <c r="P43" s="414"/>
    </row>
    <row r="44" spans="1:21" ht="14.45">
      <c r="A44" s="406" t="s">
        <v>269</v>
      </c>
      <c r="B44" s="350">
        <f>P44</f>
        <v>0.64</v>
      </c>
      <c r="C44" s="188" t="s">
        <v>39</v>
      </c>
      <c r="D44" s="188" t="s">
        <v>40</v>
      </c>
      <c r="E44" s="188" t="s">
        <v>29</v>
      </c>
      <c r="F44" s="37" t="s">
        <v>35</v>
      </c>
      <c r="G44" s="188" t="s">
        <v>33</v>
      </c>
      <c r="H44" s="188">
        <v>2</v>
      </c>
      <c r="I44" s="188">
        <f t="shared" ref="I44" si="3">LN(B44)</f>
        <v>-0.44628710262841947</v>
      </c>
      <c r="J44" s="464">
        <v>7.2284161474004766E-2</v>
      </c>
      <c r="K44" s="188" t="s">
        <v>31</v>
      </c>
      <c r="L44" s="188" t="s">
        <v>31</v>
      </c>
      <c r="M44" s="188" t="s">
        <v>31</v>
      </c>
      <c r="O44" s="401" t="s">
        <v>248</v>
      </c>
      <c r="P44" s="114">
        <v>0.64</v>
      </c>
    </row>
    <row r="45" spans="1:21" ht="14.45">
      <c r="A45" s="112" t="s">
        <v>310</v>
      </c>
      <c r="B45" s="188">
        <f>R45</f>
        <v>1.4999999999999999E-2</v>
      </c>
      <c r="C45" s="188" t="s">
        <v>37</v>
      </c>
      <c r="D45" s="188" t="s">
        <v>40</v>
      </c>
      <c r="E45" s="188" t="s">
        <v>29</v>
      </c>
      <c r="F45" s="37" t="s">
        <v>59</v>
      </c>
      <c r="G45" s="188" t="s">
        <v>33</v>
      </c>
      <c r="H45" s="188">
        <v>2</v>
      </c>
      <c r="I45" s="188">
        <f>LN(B45)</f>
        <v>-4.1997050778799272</v>
      </c>
      <c r="J45" s="464">
        <v>7.2284161474004766E-2</v>
      </c>
      <c r="K45" s="188" t="s">
        <v>31</v>
      </c>
      <c r="L45" s="188" t="s">
        <v>31</v>
      </c>
      <c r="M45" s="188" t="s">
        <v>31</v>
      </c>
      <c r="O45" s="401" t="s">
        <v>580</v>
      </c>
      <c r="P45" s="114">
        <v>15</v>
      </c>
      <c r="Q45" s="188" t="s">
        <v>241</v>
      </c>
      <c r="R45" s="188">
        <f>P45*0.001</f>
        <v>1.4999999999999999E-2</v>
      </c>
    </row>
    <row r="46" spans="1:21" ht="14.45">
      <c r="A46" s="112" t="s">
        <v>871</v>
      </c>
      <c r="B46" s="188">
        <f>R46</f>
        <v>2.8000000000000001E-2</v>
      </c>
      <c r="C46" s="188" t="s">
        <v>37</v>
      </c>
      <c r="D46" s="188" t="s">
        <v>40</v>
      </c>
      <c r="E46" s="188" t="s">
        <v>29</v>
      </c>
      <c r="F46" s="37" t="s">
        <v>35</v>
      </c>
      <c r="G46" s="188" t="s">
        <v>33</v>
      </c>
      <c r="H46" s="188">
        <v>2</v>
      </c>
      <c r="I46" s="188">
        <f>LN(B46)</f>
        <v>-3.575550768806933</v>
      </c>
      <c r="J46" s="464">
        <v>7.2284161474004766E-2</v>
      </c>
      <c r="K46" s="188" t="s">
        <v>31</v>
      </c>
      <c r="L46" s="188" t="s">
        <v>31</v>
      </c>
      <c r="M46" s="188" t="s">
        <v>31</v>
      </c>
      <c r="O46" s="401" t="s">
        <v>580</v>
      </c>
      <c r="P46" s="114">
        <v>28</v>
      </c>
      <c r="Q46" s="188" t="s">
        <v>241</v>
      </c>
      <c r="R46" s="188">
        <f>P46*0.001</f>
        <v>2.8000000000000001E-2</v>
      </c>
    </row>
    <row r="47" spans="1:21" ht="14.45">
      <c r="A47" s="112" t="s">
        <v>799</v>
      </c>
      <c r="B47" s="188">
        <f>P47</f>
        <v>24.6</v>
      </c>
      <c r="C47" s="188" t="s">
        <v>37</v>
      </c>
      <c r="D47" s="188" t="s">
        <v>40</v>
      </c>
      <c r="E47" s="188" t="s">
        <v>29</v>
      </c>
      <c r="F47" s="37" t="s">
        <v>74</v>
      </c>
      <c r="G47" s="188" t="s">
        <v>33</v>
      </c>
      <c r="H47" s="188">
        <v>2</v>
      </c>
      <c r="I47" s="188">
        <f>LN(B47)</f>
        <v>3.202746442938317</v>
      </c>
      <c r="J47" s="464">
        <v>7.2284161474004766E-2</v>
      </c>
      <c r="K47" s="188" t="s">
        <v>31</v>
      </c>
      <c r="L47" s="188" t="s">
        <v>31</v>
      </c>
      <c r="M47" s="188" t="s">
        <v>31</v>
      </c>
      <c r="O47" s="401" t="s">
        <v>241</v>
      </c>
      <c r="P47" s="114">
        <v>24.6</v>
      </c>
    </row>
    <row r="48" spans="1:21" ht="14.45">
      <c r="A48" s="112" t="s">
        <v>76</v>
      </c>
      <c r="B48" s="188">
        <f>R48</f>
        <v>2.46E-2</v>
      </c>
      <c r="C48" s="188" t="s">
        <v>42</v>
      </c>
      <c r="D48" s="188" t="s">
        <v>40</v>
      </c>
      <c r="E48" s="188" t="s">
        <v>29</v>
      </c>
      <c r="F48" s="37" t="s">
        <v>74</v>
      </c>
      <c r="G48" s="188" t="s">
        <v>33</v>
      </c>
      <c r="H48" s="188">
        <v>2</v>
      </c>
      <c r="I48" s="188">
        <f t="shared" ref="I48" si="4">LN(B48)</f>
        <v>-3.7050088360438198</v>
      </c>
      <c r="J48" s="464">
        <v>7.2284161474004766E-2</v>
      </c>
      <c r="K48" s="188" t="s">
        <v>31</v>
      </c>
      <c r="L48" s="188" t="s">
        <v>31</v>
      </c>
      <c r="M48" s="188" t="s">
        <v>31</v>
      </c>
      <c r="O48" s="418" t="s">
        <v>863</v>
      </c>
      <c r="P48" s="119">
        <v>24.6</v>
      </c>
      <c r="Q48" s="188" t="s">
        <v>251</v>
      </c>
      <c r="R48" s="188">
        <f>P48/1000</f>
        <v>2.46E-2</v>
      </c>
    </row>
    <row r="49" spans="1:18">
      <c r="A49" s="404" t="s">
        <v>5</v>
      </c>
      <c r="B49" s="371" t="s">
        <v>1230</v>
      </c>
      <c r="C49" s="372"/>
      <c r="D49" s="353"/>
      <c r="E49" s="353"/>
      <c r="F49" s="353"/>
      <c r="G49" s="353"/>
      <c r="H49" s="353"/>
      <c r="I49" s="353"/>
      <c r="J49" s="353"/>
      <c r="K49" s="353"/>
      <c r="L49" s="353"/>
      <c r="M49" s="353"/>
      <c r="N49" s="353"/>
      <c r="O49" s="353"/>
      <c r="P49" s="353"/>
      <c r="Q49" s="353"/>
      <c r="R49" s="353"/>
    </row>
    <row r="50" spans="1:18">
      <c r="A50" s="406" t="s">
        <v>7</v>
      </c>
      <c r="B50" s="188" t="s">
        <v>786</v>
      </c>
      <c r="C50" s="345"/>
    </row>
    <row r="51" spans="1:18">
      <c r="A51" s="406" t="s">
        <v>9</v>
      </c>
      <c r="B51" s="188" t="s">
        <v>1231</v>
      </c>
      <c r="C51" s="345"/>
    </row>
    <row r="52" spans="1:18" ht="10.5" customHeight="1">
      <c r="A52" s="406" t="s">
        <v>11</v>
      </c>
      <c r="B52" s="347" t="s">
        <v>796</v>
      </c>
    </row>
    <row r="53" spans="1:18">
      <c r="A53" s="406" t="s">
        <v>13</v>
      </c>
      <c r="B53" s="188" t="s">
        <v>14</v>
      </c>
    </row>
    <row r="54" spans="1:18">
      <c r="A54" s="406" t="s">
        <v>15</v>
      </c>
      <c r="B54" s="420">
        <f>B59</f>
        <v>2.5000000000000001E-2</v>
      </c>
    </row>
    <row r="55" spans="1:18">
      <c r="A55" s="406" t="s">
        <v>16</v>
      </c>
      <c r="B55" s="188" t="s">
        <v>17</v>
      </c>
    </row>
    <row r="56" spans="1:18">
      <c r="A56" s="406" t="s">
        <v>18</v>
      </c>
      <c r="B56" s="188" t="s">
        <v>37</v>
      </c>
    </row>
    <row r="57" spans="1:18">
      <c r="A57" s="407" t="s">
        <v>19</v>
      </c>
    </row>
    <row r="58" spans="1:18">
      <c r="A58" s="407" t="s">
        <v>20</v>
      </c>
      <c r="B58" s="344" t="s">
        <v>21</v>
      </c>
      <c r="C58" s="344" t="s">
        <v>18</v>
      </c>
      <c r="D58" s="344" t="s">
        <v>22</v>
      </c>
      <c r="E58" s="344" t="s">
        <v>7</v>
      </c>
      <c r="F58" s="344" t="s">
        <v>13</v>
      </c>
      <c r="G58" s="344" t="s">
        <v>16</v>
      </c>
      <c r="H58" s="344" t="s">
        <v>23</v>
      </c>
      <c r="I58" s="344" t="s">
        <v>24</v>
      </c>
      <c r="J58" s="344" t="s">
        <v>25</v>
      </c>
      <c r="K58" s="344" t="s">
        <v>26</v>
      </c>
      <c r="L58" s="344" t="s">
        <v>27</v>
      </c>
      <c r="M58" s="344" t="s">
        <v>28</v>
      </c>
      <c r="N58" s="344" t="s">
        <v>11</v>
      </c>
    </row>
    <row r="59" spans="1:18">
      <c r="A59" s="381" t="s">
        <v>1230</v>
      </c>
      <c r="B59" s="420">
        <f>0.025</f>
        <v>2.5000000000000001E-2</v>
      </c>
      <c r="C59" s="188" t="s">
        <v>37</v>
      </c>
      <c r="D59" s="408" t="s">
        <v>2</v>
      </c>
      <c r="E59" s="188" t="s">
        <v>29</v>
      </c>
      <c r="F59" s="37" t="s">
        <v>14</v>
      </c>
      <c r="G59" s="188" t="s">
        <v>30</v>
      </c>
      <c r="H59" s="188">
        <v>1</v>
      </c>
      <c r="I59" s="420">
        <f>B59</f>
        <v>2.5000000000000001E-2</v>
      </c>
      <c r="J59" s="188" t="s">
        <v>31</v>
      </c>
      <c r="K59" s="188" t="s">
        <v>31</v>
      </c>
      <c r="L59" s="188" t="s">
        <v>31</v>
      </c>
      <c r="M59" s="188" t="s">
        <v>31</v>
      </c>
      <c r="O59" s="192"/>
      <c r="P59" s="421"/>
    </row>
    <row r="60" spans="1:18" ht="14.45">
      <c r="A60" s="112" t="s">
        <v>874</v>
      </c>
      <c r="B60" s="350">
        <f>R60</f>
        <v>3.3000000000000002E-2</v>
      </c>
      <c r="C60" s="188" t="s">
        <v>37</v>
      </c>
      <c r="D60" s="188" t="s">
        <v>40</v>
      </c>
      <c r="E60" s="188" t="s">
        <v>29</v>
      </c>
      <c r="F60" s="37" t="s">
        <v>59</v>
      </c>
      <c r="G60" s="188" t="s">
        <v>33</v>
      </c>
      <c r="H60" s="188">
        <v>2</v>
      </c>
      <c r="I60" s="188">
        <f>LN(B60)</f>
        <v>-3.4112477175156566</v>
      </c>
      <c r="J60" s="188">
        <v>7.2284161474004766E-2</v>
      </c>
      <c r="K60" s="188" t="s">
        <v>31</v>
      </c>
      <c r="L60" s="188" t="s">
        <v>31</v>
      </c>
      <c r="M60" s="188" t="s">
        <v>31</v>
      </c>
      <c r="O60" s="401" t="s">
        <v>580</v>
      </c>
      <c r="P60" s="114">
        <v>33</v>
      </c>
      <c r="Q60" s="188" t="s">
        <v>241</v>
      </c>
      <c r="R60" s="188">
        <f>P60*0.001</f>
        <v>3.3000000000000002E-2</v>
      </c>
    </row>
    <row r="61" spans="1:18" ht="14.45">
      <c r="A61" s="406" t="s">
        <v>269</v>
      </c>
      <c r="B61" s="350">
        <f>P61</f>
        <v>0.15</v>
      </c>
      <c r="C61" s="188" t="s">
        <v>39</v>
      </c>
      <c r="D61" s="188" t="s">
        <v>40</v>
      </c>
      <c r="E61" s="188" t="s">
        <v>29</v>
      </c>
      <c r="F61" s="37" t="s">
        <v>35</v>
      </c>
      <c r="G61" s="188" t="s">
        <v>33</v>
      </c>
      <c r="H61" s="188">
        <v>2</v>
      </c>
      <c r="I61" s="188">
        <f t="shared" ref="I61:I62" si="5">LN(B61)</f>
        <v>-1.8971199848858813</v>
      </c>
      <c r="J61" s="188">
        <v>7.2284161474004766E-2</v>
      </c>
      <c r="K61" s="188" t="s">
        <v>31</v>
      </c>
      <c r="L61" s="188" t="s">
        <v>31</v>
      </c>
      <c r="M61" s="188" t="s">
        <v>31</v>
      </c>
      <c r="O61" s="401" t="s">
        <v>248</v>
      </c>
      <c r="P61" s="114">
        <v>0.15</v>
      </c>
    </row>
    <row r="62" spans="1:18">
      <c r="A62" s="381" t="s">
        <v>790</v>
      </c>
      <c r="B62" s="188">
        <v>3.2000000000000001E-2</v>
      </c>
      <c r="C62" s="188" t="s">
        <v>37</v>
      </c>
      <c r="D62" s="408" t="s">
        <v>2</v>
      </c>
      <c r="E62" s="188" t="s">
        <v>29</v>
      </c>
      <c r="F62" s="37" t="s">
        <v>74</v>
      </c>
      <c r="G62" s="188" t="s">
        <v>33</v>
      </c>
      <c r="H62" s="188">
        <v>2</v>
      </c>
      <c r="I62" s="188">
        <f t="shared" si="5"/>
        <v>-3.4420193761824103</v>
      </c>
      <c r="J62" s="188">
        <v>7.2284161474004766E-2</v>
      </c>
      <c r="K62" s="188" t="s">
        <v>31</v>
      </c>
      <c r="L62" s="188" t="s">
        <v>31</v>
      </c>
      <c r="M62" s="188" t="s">
        <v>31</v>
      </c>
    </row>
    <row r="63" spans="1:18" s="17" customFormat="1" ht="15.6">
      <c r="A63" s="404" t="s">
        <v>5</v>
      </c>
      <c r="B63" s="371" t="s">
        <v>1229</v>
      </c>
      <c r="C63" s="372"/>
      <c r="D63" s="353"/>
      <c r="E63" s="353"/>
      <c r="F63" s="353"/>
      <c r="G63" s="353"/>
      <c r="H63" s="353"/>
      <c r="I63" s="353"/>
      <c r="J63" s="353"/>
      <c r="K63" s="353"/>
      <c r="L63" s="353"/>
      <c r="M63" s="353"/>
      <c r="N63" s="353"/>
      <c r="O63" s="422"/>
      <c r="P63" s="422"/>
      <c r="Q63" s="422"/>
      <c r="R63" s="422"/>
    </row>
    <row r="64" spans="1:18" s="17" customFormat="1" ht="15.6">
      <c r="A64" s="406" t="s">
        <v>7</v>
      </c>
      <c r="B64" s="188" t="s">
        <v>786</v>
      </c>
      <c r="C64" s="345"/>
      <c r="D64" s="188"/>
      <c r="E64" s="188"/>
      <c r="F64" s="188"/>
      <c r="G64" s="188"/>
      <c r="H64" s="188"/>
      <c r="I64" s="188"/>
      <c r="J64" s="188"/>
      <c r="K64" s="188"/>
      <c r="L64" s="188"/>
      <c r="M64" s="188"/>
      <c r="N64" s="188"/>
    </row>
    <row r="65" spans="1:16" s="17" customFormat="1" ht="15.6">
      <c r="A65" s="406" t="s">
        <v>9</v>
      </c>
      <c r="B65" s="188" t="s">
        <v>1232</v>
      </c>
      <c r="C65" s="345"/>
      <c r="D65" s="188"/>
      <c r="E65" s="188"/>
      <c r="F65" s="188"/>
      <c r="G65" s="188"/>
      <c r="H65" s="188"/>
      <c r="I65" s="188"/>
      <c r="J65" s="188"/>
      <c r="K65" s="188"/>
      <c r="L65" s="188"/>
      <c r="M65" s="188"/>
      <c r="N65" s="188"/>
    </row>
    <row r="66" spans="1:16" s="17" customFormat="1" ht="10.5" customHeight="1">
      <c r="A66" s="406" t="s">
        <v>11</v>
      </c>
      <c r="B66" s="347" t="s">
        <v>796</v>
      </c>
      <c r="C66" s="188"/>
      <c r="D66" s="188"/>
      <c r="E66" s="188"/>
      <c r="F66" s="188"/>
      <c r="G66" s="188"/>
      <c r="H66" s="188"/>
      <c r="I66" s="188"/>
      <c r="J66" s="188"/>
      <c r="K66" s="188"/>
      <c r="L66" s="188"/>
      <c r="M66" s="188"/>
      <c r="N66" s="188"/>
    </row>
    <row r="67" spans="1:16" s="17" customFormat="1" ht="15.6">
      <c r="A67" s="406" t="s">
        <v>13</v>
      </c>
      <c r="B67" s="188" t="s">
        <v>14</v>
      </c>
      <c r="C67" s="188"/>
      <c r="D67" s="188"/>
      <c r="E67" s="188"/>
      <c r="F67" s="188"/>
      <c r="G67" s="188"/>
      <c r="H67" s="188"/>
      <c r="I67" s="188"/>
      <c r="J67" s="188"/>
      <c r="K67" s="188"/>
      <c r="L67" s="188"/>
      <c r="M67" s="188"/>
      <c r="N67" s="188"/>
    </row>
    <row r="68" spans="1:16" s="17" customFormat="1" ht="15.6">
      <c r="A68" s="406" t="s">
        <v>15</v>
      </c>
      <c r="B68" s="358">
        <f>B73</f>
        <v>0.34</v>
      </c>
      <c r="C68" s="188"/>
      <c r="D68" s="188"/>
      <c r="E68" s="188"/>
      <c r="F68" s="188"/>
      <c r="G68" s="188"/>
      <c r="H68" s="188"/>
      <c r="I68" s="188"/>
      <c r="J68" s="188"/>
      <c r="K68" s="188"/>
      <c r="L68" s="188"/>
      <c r="M68" s="188"/>
      <c r="N68" s="188"/>
    </row>
    <row r="69" spans="1:16" s="17" customFormat="1" ht="15.6">
      <c r="A69" s="406" t="s">
        <v>16</v>
      </c>
      <c r="B69" s="188" t="s">
        <v>17</v>
      </c>
      <c r="C69" s="188"/>
      <c r="D69" s="188"/>
      <c r="E69" s="188"/>
      <c r="F69" s="188"/>
      <c r="G69" s="188"/>
      <c r="H69" s="188"/>
      <c r="I69" s="188"/>
      <c r="J69" s="188"/>
      <c r="K69" s="188"/>
      <c r="L69" s="188"/>
      <c r="M69" s="188"/>
      <c r="N69" s="188"/>
    </row>
    <row r="70" spans="1:16" s="17" customFormat="1" ht="15.6">
      <c r="A70" s="406" t="s">
        <v>18</v>
      </c>
      <c r="B70" s="188" t="s">
        <v>37</v>
      </c>
      <c r="C70" s="188"/>
      <c r="D70" s="188"/>
      <c r="E70" s="188"/>
      <c r="F70" s="188"/>
      <c r="G70" s="188"/>
      <c r="H70" s="188"/>
      <c r="I70" s="188"/>
      <c r="J70" s="188"/>
      <c r="K70" s="188"/>
      <c r="L70" s="188"/>
      <c r="M70" s="188"/>
      <c r="N70" s="188"/>
    </row>
    <row r="71" spans="1:16" s="17" customFormat="1" ht="15.6">
      <c r="A71" s="407" t="s">
        <v>19</v>
      </c>
      <c r="B71" s="188"/>
      <c r="C71" s="188"/>
      <c r="D71" s="188"/>
      <c r="E71" s="188"/>
      <c r="F71" s="188"/>
      <c r="G71" s="188"/>
      <c r="H71" s="188"/>
      <c r="I71" s="188"/>
      <c r="J71" s="188"/>
      <c r="K71" s="188"/>
      <c r="L71" s="188"/>
      <c r="M71" s="188"/>
      <c r="N71" s="188"/>
    </row>
    <row r="72" spans="1:16" s="17" customFormat="1" ht="15.6">
      <c r="A72" s="407" t="s">
        <v>20</v>
      </c>
      <c r="B72" s="344" t="s">
        <v>21</v>
      </c>
      <c r="C72" s="344" t="s">
        <v>18</v>
      </c>
      <c r="D72" s="344" t="s">
        <v>22</v>
      </c>
      <c r="E72" s="344" t="s">
        <v>7</v>
      </c>
      <c r="F72" s="344" t="s">
        <v>13</v>
      </c>
      <c r="G72" s="344" t="s">
        <v>16</v>
      </c>
      <c r="H72" s="344" t="s">
        <v>23</v>
      </c>
      <c r="I72" s="344" t="s">
        <v>24</v>
      </c>
      <c r="J72" s="344" t="s">
        <v>25</v>
      </c>
      <c r="K72" s="344" t="s">
        <v>26</v>
      </c>
      <c r="L72" s="344" t="s">
        <v>27</v>
      </c>
      <c r="M72" s="344" t="s">
        <v>28</v>
      </c>
      <c r="N72" s="344" t="s">
        <v>11</v>
      </c>
    </row>
    <row r="73" spans="1:16" s="17" customFormat="1" ht="15.6">
      <c r="A73" s="381" t="s">
        <v>1229</v>
      </c>
      <c r="B73" s="350">
        <v>0.34</v>
      </c>
      <c r="C73" s="188" t="s">
        <v>37</v>
      </c>
      <c r="D73" s="408" t="s">
        <v>2</v>
      </c>
      <c r="E73" s="188" t="s">
        <v>29</v>
      </c>
      <c r="F73" s="37" t="s">
        <v>14</v>
      </c>
      <c r="G73" s="188" t="s">
        <v>30</v>
      </c>
      <c r="H73" s="188">
        <v>1</v>
      </c>
      <c r="I73" s="358">
        <f>B73</f>
        <v>0.34</v>
      </c>
      <c r="J73" s="188" t="s">
        <v>31</v>
      </c>
      <c r="K73" s="188" t="s">
        <v>31</v>
      </c>
      <c r="L73" s="188" t="s">
        <v>31</v>
      </c>
      <c r="M73" s="188" t="s">
        <v>31</v>
      </c>
      <c r="N73" s="188"/>
      <c r="O73" s="180"/>
      <c r="P73" s="423"/>
    </row>
    <row r="74" spans="1:16" s="17" customFormat="1" ht="15.6">
      <c r="A74" s="112" t="s">
        <v>703</v>
      </c>
      <c r="B74" s="350">
        <v>0.34</v>
      </c>
      <c r="C74" s="188" t="s">
        <v>37</v>
      </c>
      <c r="D74" s="188" t="s">
        <v>40</v>
      </c>
      <c r="E74" s="188" t="s">
        <v>29</v>
      </c>
      <c r="F74" s="37" t="s">
        <v>59</v>
      </c>
      <c r="G74" s="188" t="s">
        <v>33</v>
      </c>
      <c r="H74" s="188">
        <v>1</v>
      </c>
      <c r="I74" s="358">
        <f t="shared" ref="I74:I75" si="6">B74</f>
        <v>0.34</v>
      </c>
      <c r="J74" s="188" t="s">
        <v>31</v>
      </c>
      <c r="K74" s="188" t="s">
        <v>31</v>
      </c>
      <c r="L74" s="188" t="s">
        <v>31</v>
      </c>
      <c r="M74" s="188" t="s">
        <v>31</v>
      </c>
      <c r="N74" s="188"/>
      <c r="O74" s="180"/>
      <c r="P74" s="423"/>
    </row>
    <row r="75" spans="1:16" s="17" customFormat="1" ht="15.6">
      <c r="A75" s="112" t="s">
        <v>876</v>
      </c>
      <c r="B75" s="350">
        <v>0.34</v>
      </c>
      <c r="C75" s="188" t="s">
        <v>37</v>
      </c>
      <c r="D75" s="188" t="s">
        <v>40</v>
      </c>
      <c r="E75" s="188" t="s">
        <v>29</v>
      </c>
      <c r="F75" s="37" t="s">
        <v>59</v>
      </c>
      <c r="G75" s="188" t="s">
        <v>33</v>
      </c>
      <c r="H75" s="188">
        <v>1</v>
      </c>
      <c r="I75" s="358">
        <f t="shared" si="6"/>
        <v>0.34</v>
      </c>
      <c r="J75" s="188" t="s">
        <v>31</v>
      </c>
      <c r="K75" s="188" t="s">
        <v>31</v>
      </c>
      <c r="L75" s="188" t="s">
        <v>31</v>
      </c>
      <c r="M75" s="188" t="s">
        <v>31</v>
      </c>
      <c r="N75" s="188"/>
      <c r="O75" s="180"/>
      <c r="P75" s="423"/>
    </row>
    <row r="76" spans="1:16" s="422" customFormat="1" ht="15.6">
      <c r="A76" s="370" t="s">
        <v>5</v>
      </c>
      <c r="B76" s="371" t="s">
        <v>1233</v>
      </c>
      <c r="C76" s="372"/>
      <c r="D76" s="353"/>
      <c r="E76" s="353"/>
      <c r="F76" s="353"/>
      <c r="G76" s="353"/>
      <c r="H76" s="353"/>
      <c r="I76" s="353"/>
      <c r="J76" s="353"/>
      <c r="K76" s="353"/>
      <c r="L76" s="353"/>
      <c r="M76" s="353"/>
      <c r="N76" s="353"/>
    </row>
    <row r="77" spans="1:16" s="17" customFormat="1" ht="15.6">
      <c r="A77" s="346" t="s">
        <v>7</v>
      </c>
      <c r="B77" s="188" t="s">
        <v>786</v>
      </c>
      <c r="C77" s="345"/>
      <c r="D77" s="188"/>
      <c r="E77" s="188"/>
      <c r="F77" s="188"/>
      <c r="G77" s="188"/>
      <c r="H77" s="188"/>
      <c r="I77" s="188"/>
      <c r="J77" s="188"/>
      <c r="K77" s="188"/>
      <c r="L77" s="188"/>
      <c r="M77" s="188"/>
      <c r="N77" s="188"/>
    </row>
    <row r="78" spans="1:16" s="17" customFormat="1" ht="15.6">
      <c r="A78" s="424" t="s">
        <v>9</v>
      </c>
      <c r="B78" s="188" t="s">
        <v>1234</v>
      </c>
      <c r="C78" s="345"/>
      <c r="D78" s="188"/>
      <c r="E78" s="188"/>
      <c r="F78" s="188"/>
      <c r="G78" s="188"/>
      <c r="H78" s="188"/>
      <c r="I78" s="188"/>
      <c r="J78" s="188"/>
      <c r="K78" s="188"/>
      <c r="L78" s="188"/>
      <c r="M78" s="188"/>
      <c r="N78" s="188"/>
    </row>
    <row r="79" spans="1:16" s="17" customFormat="1" ht="15.75" customHeight="1">
      <c r="A79" s="346" t="s">
        <v>11</v>
      </c>
      <c r="B79" s="347" t="s">
        <v>796</v>
      </c>
      <c r="C79" s="188"/>
      <c r="D79" s="188"/>
      <c r="E79" s="188"/>
      <c r="F79" s="188"/>
      <c r="G79" s="188"/>
      <c r="H79" s="188"/>
      <c r="I79" s="188"/>
      <c r="J79" s="188"/>
      <c r="K79" s="188"/>
      <c r="L79" s="188"/>
      <c r="M79" s="188"/>
      <c r="N79" s="188"/>
    </row>
    <row r="80" spans="1:16" s="17" customFormat="1" ht="15.6">
      <c r="A80" s="346" t="s">
        <v>13</v>
      </c>
      <c r="B80" s="188" t="s">
        <v>14</v>
      </c>
      <c r="C80" s="188"/>
      <c r="D80" s="188"/>
      <c r="E80" s="188"/>
      <c r="F80" s="188"/>
      <c r="G80" s="188"/>
      <c r="H80" s="188"/>
      <c r="I80" s="188"/>
      <c r="J80" s="188"/>
      <c r="K80" s="188"/>
      <c r="L80" s="188"/>
      <c r="M80" s="188"/>
      <c r="N80" s="188"/>
    </row>
    <row r="81" spans="1:19" s="17" customFormat="1" ht="15.6">
      <c r="A81" s="346" t="s">
        <v>15</v>
      </c>
      <c r="B81" s="425">
        <f>B86</f>
        <v>12.33</v>
      </c>
      <c r="C81" s="188"/>
      <c r="D81" s="188"/>
      <c r="E81" s="188"/>
      <c r="F81" s="188"/>
      <c r="G81" s="188"/>
      <c r="H81" s="188"/>
      <c r="I81" s="188"/>
      <c r="J81" s="188"/>
      <c r="K81" s="188"/>
      <c r="L81" s="188"/>
      <c r="M81" s="188"/>
      <c r="N81" s="188"/>
    </row>
    <row r="82" spans="1:19" s="17" customFormat="1" ht="15.6">
      <c r="A82" s="346" t="s">
        <v>16</v>
      </c>
      <c r="B82" s="188" t="s">
        <v>17</v>
      </c>
      <c r="C82" s="188"/>
      <c r="D82" s="188"/>
      <c r="E82" s="188"/>
      <c r="F82" s="188"/>
      <c r="G82" s="188"/>
      <c r="H82" s="188"/>
      <c r="I82" s="188"/>
      <c r="J82" s="188"/>
      <c r="K82" s="188"/>
      <c r="L82" s="188"/>
      <c r="M82" s="188"/>
      <c r="N82" s="188"/>
    </row>
    <row r="83" spans="1:19" s="17" customFormat="1" ht="15.6">
      <c r="A83" s="346" t="s">
        <v>18</v>
      </c>
      <c r="B83" s="188" t="s">
        <v>37</v>
      </c>
      <c r="C83" s="188"/>
      <c r="D83" s="188"/>
      <c r="E83" s="188"/>
      <c r="F83" s="188"/>
      <c r="G83" s="188"/>
      <c r="H83" s="188"/>
      <c r="I83" s="188"/>
      <c r="J83" s="188"/>
      <c r="K83" s="188"/>
      <c r="L83" s="188"/>
      <c r="M83" s="188"/>
      <c r="N83" s="188"/>
      <c r="S83" s="426"/>
    </row>
    <row r="84" spans="1:19" s="17" customFormat="1" ht="15.6">
      <c r="A84" s="343" t="s">
        <v>19</v>
      </c>
      <c r="B84" s="188"/>
      <c r="C84" s="188"/>
      <c r="D84" s="188"/>
      <c r="E84" s="188"/>
      <c r="F84" s="188"/>
      <c r="G84" s="188"/>
      <c r="H84" s="188"/>
      <c r="I84" s="188"/>
      <c r="J84" s="188"/>
      <c r="K84" s="188"/>
      <c r="L84" s="188"/>
      <c r="M84" s="188"/>
      <c r="N84" s="188"/>
    </row>
    <row r="85" spans="1:19" s="17" customFormat="1" ht="15.6">
      <c r="A85" s="344" t="s">
        <v>20</v>
      </c>
      <c r="B85" s="344" t="s">
        <v>21</v>
      </c>
      <c r="C85" s="344" t="s">
        <v>18</v>
      </c>
      <c r="D85" s="344" t="s">
        <v>22</v>
      </c>
      <c r="E85" s="344" t="s">
        <v>7</v>
      </c>
      <c r="F85" s="344" t="s">
        <v>13</v>
      </c>
      <c r="G85" s="344" t="s">
        <v>16</v>
      </c>
      <c r="H85" s="344" t="s">
        <v>23</v>
      </c>
      <c r="I85" s="344" t="s">
        <v>24</v>
      </c>
      <c r="J85" s="344" t="s">
        <v>25</v>
      </c>
      <c r="K85" s="344" t="s">
        <v>26</v>
      </c>
      <c r="L85" s="344" t="s">
        <v>27</v>
      </c>
      <c r="M85" s="344" t="s">
        <v>28</v>
      </c>
      <c r="N85" s="344" t="s">
        <v>11</v>
      </c>
    </row>
    <row r="86" spans="1:19" s="17" customFormat="1" ht="15.6">
      <c r="A86" s="188" t="s">
        <v>1233</v>
      </c>
      <c r="B86" s="358">
        <v>12.33</v>
      </c>
      <c r="C86" s="188" t="s">
        <v>37</v>
      </c>
      <c r="D86" s="408" t="s">
        <v>2</v>
      </c>
      <c r="E86" s="188" t="s">
        <v>29</v>
      </c>
      <c r="F86" s="188" t="s">
        <v>14</v>
      </c>
      <c r="G86" s="188" t="s">
        <v>879</v>
      </c>
      <c r="H86" s="188">
        <v>1</v>
      </c>
      <c r="I86" s="358">
        <f>B86</f>
        <v>12.33</v>
      </c>
      <c r="J86" s="188" t="s">
        <v>31</v>
      </c>
      <c r="K86" s="188" t="s">
        <v>31</v>
      </c>
      <c r="L86" s="188" t="s">
        <v>31</v>
      </c>
      <c r="M86" s="188" t="s">
        <v>31</v>
      </c>
      <c r="N86" s="188"/>
      <c r="O86" s="180"/>
      <c r="P86" s="423"/>
    </row>
    <row r="87" spans="1:19" s="17" customFormat="1" ht="15.6">
      <c r="A87" s="88" t="s">
        <v>653</v>
      </c>
      <c r="B87" s="358">
        <v>12.33</v>
      </c>
      <c r="C87" s="188" t="s">
        <v>37</v>
      </c>
      <c r="D87" s="188" t="s">
        <v>40</v>
      </c>
      <c r="E87" s="188" t="s">
        <v>29</v>
      </c>
      <c r="F87" s="37" t="s">
        <v>59</v>
      </c>
      <c r="G87" s="188" t="s">
        <v>33</v>
      </c>
      <c r="H87" s="188">
        <v>1</v>
      </c>
      <c r="I87" s="358">
        <f t="shared" ref="I87:I89" si="7">B87</f>
        <v>12.33</v>
      </c>
      <c r="J87" s="188" t="s">
        <v>31</v>
      </c>
      <c r="K87" s="188" t="s">
        <v>31</v>
      </c>
      <c r="L87" s="188" t="s">
        <v>31</v>
      </c>
      <c r="M87" s="188" t="s">
        <v>31</v>
      </c>
      <c r="N87" s="188"/>
      <c r="O87" s="180"/>
      <c r="P87" s="423"/>
    </row>
    <row r="88" spans="1:19" s="17" customFormat="1" ht="15.6">
      <c r="A88" s="88" t="s">
        <v>624</v>
      </c>
      <c r="B88" s="358">
        <v>12.33</v>
      </c>
      <c r="C88" s="188" t="s">
        <v>37</v>
      </c>
      <c r="D88" s="188" t="s">
        <v>40</v>
      </c>
      <c r="E88" s="188" t="s">
        <v>29</v>
      </c>
      <c r="F88" s="37" t="s">
        <v>59</v>
      </c>
      <c r="G88" s="188" t="s">
        <v>33</v>
      </c>
      <c r="H88" s="188">
        <v>1</v>
      </c>
      <c r="I88" s="358">
        <f t="shared" si="7"/>
        <v>12.33</v>
      </c>
      <c r="J88" s="188" t="s">
        <v>31</v>
      </c>
      <c r="K88" s="188" t="s">
        <v>31</v>
      </c>
      <c r="L88" s="188" t="s">
        <v>31</v>
      </c>
      <c r="M88" s="188" t="s">
        <v>31</v>
      </c>
      <c r="N88" s="188"/>
      <c r="O88" s="180"/>
      <c r="P88" s="423"/>
    </row>
    <row r="89" spans="1:19" s="17" customFormat="1" ht="15.6">
      <c r="A89" s="88" t="s">
        <v>880</v>
      </c>
      <c r="B89" s="358">
        <v>12.33</v>
      </c>
      <c r="C89" s="188" t="s">
        <v>37</v>
      </c>
      <c r="D89" s="188" t="s">
        <v>40</v>
      </c>
      <c r="E89" s="188" t="s">
        <v>29</v>
      </c>
      <c r="F89" s="37" t="s">
        <v>35</v>
      </c>
      <c r="G89" s="188" t="s">
        <v>33</v>
      </c>
      <c r="H89" s="188">
        <v>1</v>
      </c>
      <c r="I89" s="358">
        <f t="shared" si="7"/>
        <v>12.33</v>
      </c>
      <c r="J89" s="188" t="s">
        <v>31</v>
      </c>
      <c r="K89" s="188" t="s">
        <v>31</v>
      </c>
      <c r="L89" s="188" t="s">
        <v>31</v>
      </c>
      <c r="M89" s="188" t="s">
        <v>31</v>
      </c>
      <c r="N89" s="188"/>
      <c r="O89" s="180"/>
      <c r="P89" s="423"/>
    </row>
    <row r="90" spans="1:19" s="17" customFormat="1" ht="15.6">
      <c r="A90" s="370" t="s">
        <v>5</v>
      </c>
      <c r="B90" s="371" t="s">
        <v>1219</v>
      </c>
      <c r="C90" s="372"/>
      <c r="D90" s="353"/>
      <c r="E90" s="353"/>
      <c r="F90" s="353"/>
      <c r="G90" s="353"/>
      <c r="H90" s="353"/>
      <c r="I90" s="353"/>
      <c r="J90" s="353"/>
      <c r="K90" s="353"/>
      <c r="L90" s="353"/>
      <c r="M90" s="353"/>
      <c r="N90" s="188"/>
    </row>
    <row r="91" spans="1:19" s="17" customFormat="1" ht="15.6">
      <c r="A91" s="346" t="s">
        <v>7</v>
      </c>
      <c r="B91" s="188" t="s">
        <v>786</v>
      </c>
      <c r="C91" s="345"/>
      <c r="D91" s="188"/>
      <c r="E91" s="188"/>
      <c r="F91" s="188"/>
      <c r="G91" s="188"/>
      <c r="H91" s="188"/>
      <c r="I91" s="188"/>
      <c r="J91" s="188"/>
      <c r="K91" s="188"/>
      <c r="L91" s="188"/>
      <c r="M91" s="188"/>
      <c r="N91" s="188"/>
    </row>
    <row r="92" spans="1:19" s="17" customFormat="1" ht="15.6">
      <c r="A92" s="346" t="s">
        <v>9</v>
      </c>
      <c r="B92" s="381" t="s">
        <v>1235</v>
      </c>
      <c r="C92" s="345"/>
      <c r="D92" s="188"/>
      <c r="E92" s="188"/>
      <c r="F92" s="188"/>
      <c r="G92" s="188"/>
      <c r="H92" s="188"/>
      <c r="I92" s="188"/>
      <c r="J92" s="188"/>
      <c r="K92" s="188"/>
      <c r="L92" s="188"/>
      <c r="M92" s="188"/>
      <c r="N92" s="188"/>
    </row>
    <row r="93" spans="1:19" s="17" customFormat="1" ht="15.6">
      <c r="A93" s="346" t="s">
        <v>11</v>
      </c>
      <c r="B93" s="347" t="s">
        <v>788</v>
      </c>
      <c r="C93" s="188"/>
      <c r="D93" s="188"/>
      <c r="E93" s="188"/>
      <c r="F93" s="188"/>
      <c r="G93" s="188"/>
      <c r="H93" s="188"/>
      <c r="I93" s="188"/>
      <c r="J93" s="188"/>
      <c r="K93" s="188"/>
      <c r="L93" s="188"/>
      <c r="M93" s="188"/>
      <c r="N93" s="188"/>
    </row>
    <row r="94" spans="1:19" s="17" customFormat="1" ht="15.6">
      <c r="A94" s="346" t="s">
        <v>13</v>
      </c>
      <c r="B94" s="37" t="s">
        <v>14</v>
      </c>
      <c r="C94" s="188"/>
      <c r="D94" s="188"/>
      <c r="E94" s="188"/>
      <c r="F94" s="188"/>
      <c r="G94" s="188"/>
      <c r="H94" s="188"/>
      <c r="I94" s="188"/>
      <c r="J94" s="188"/>
      <c r="K94" s="188"/>
      <c r="L94" s="188"/>
      <c r="M94" s="188"/>
      <c r="N94" s="188"/>
    </row>
    <row r="95" spans="1:19" s="17" customFormat="1" ht="15.6">
      <c r="A95" s="346" t="s">
        <v>15</v>
      </c>
      <c r="B95" s="358">
        <f>B100</f>
        <v>12.33</v>
      </c>
      <c r="C95" s="188"/>
      <c r="D95" s="188"/>
      <c r="E95" s="188"/>
      <c r="F95" s="188"/>
      <c r="G95" s="188"/>
      <c r="H95" s="188"/>
      <c r="I95" s="188"/>
      <c r="J95" s="188"/>
      <c r="K95" s="188"/>
      <c r="L95" s="188"/>
      <c r="M95" s="188"/>
      <c r="N95" s="188"/>
    </row>
    <row r="96" spans="1:19" s="17" customFormat="1" ht="15.6">
      <c r="A96" s="346" t="s">
        <v>16</v>
      </c>
      <c r="B96" s="188" t="s">
        <v>17</v>
      </c>
      <c r="C96" s="188"/>
      <c r="D96" s="188"/>
      <c r="E96" s="188"/>
      <c r="F96" s="188"/>
      <c r="G96" s="188"/>
      <c r="H96" s="188"/>
      <c r="I96" s="188"/>
      <c r="J96" s="188"/>
      <c r="K96" s="188"/>
      <c r="L96" s="188"/>
      <c r="M96" s="188"/>
      <c r="N96" s="188"/>
    </row>
    <row r="97" spans="1:14" s="17" customFormat="1" ht="15.6">
      <c r="A97" s="346" t="s">
        <v>18</v>
      </c>
      <c r="B97" s="188" t="s">
        <v>37</v>
      </c>
      <c r="C97" s="188"/>
      <c r="D97" s="188"/>
      <c r="E97" s="188"/>
      <c r="F97" s="188"/>
      <c r="G97" s="188"/>
      <c r="H97" s="188"/>
      <c r="I97" s="188"/>
      <c r="J97" s="188"/>
      <c r="K97" s="188"/>
      <c r="L97" s="188"/>
      <c r="M97" s="188"/>
      <c r="N97" s="188"/>
    </row>
    <row r="98" spans="1:14" s="17" customFormat="1" ht="15.6">
      <c r="A98" s="343" t="s">
        <v>19</v>
      </c>
      <c r="B98" s="188"/>
      <c r="C98" s="188"/>
      <c r="D98" s="188"/>
      <c r="E98" s="188"/>
      <c r="F98" s="188"/>
      <c r="G98" s="188"/>
      <c r="H98" s="188"/>
      <c r="I98" s="188"/>
      <c r="J98" s="188"/>
      <c r="K98" s="188"/>
      <c r="L98" s="188"/>
      <c r="M98" s="188"/>
      <c r="N98" s="188"/>
    </row>
    <row r="99" spans="1:14" s="17" customFormat="1" ht="15.6">
      <c r="A99" s="343" t="s">
        <v>20</v>
      </c>
      <c r="B99" s="344" t="s">
        <v>21</v>
      </c>
      <c r="C99" s="344" t="s">
        <v>18</v>
      </c>
      <c r="D99" s="344" t="s">
        <v>22</v>
      </c>
      <c r="E99" s="344" t="s">
        <v>7</v>
      </c>
      <c r="F99" s="344" t="s">
        <v>13</v>
      </c>
      <c r="G99" s="344" t="s">
        <v>16</v>
      </c>
      <c r="H99" s="344" t="s">
        <v>23</v>
      </c>
      <c r="I99" s="344" t="s">
        <v>24</v>
      </c>
      <c r="J99" s="344" t="s">
        <v>25</v>
      </c>
      <c r="K99" s="344" t="s">
        <v>26</v>
      </c>
      <c r="L99" s="344" t="s">
        <v>27</v>
      </c>
      <c r="M99" s="344" t="s">
        <v>28</v>
      </c>
      <c r="N99" s="344" t="s">
        <v>11</v>
      </c>
    </row>
    <row r="100" spans="1:14" s="17" customFormat="1" ht="15.6">
      <c r="A100" s="192" t="s">
        <v>1219</v>
      </c>
      <c r="B100" s="493">
        <f>B101</f>
        <v>12.33</v>
      </c>
      <c r="C100" s="188" t="s">
        <v>37</v>
      </c>
      <c r="D100" s="188" t="s">
        <v>2</v>
      </c>
      <c r="E100" s="188" t="s">
        <v>29</v>
      </c>
      <c r="F100" s="37" t="s">
        <v>14</v>
      </c>
      <c r="G100" s="188" t="s">
        <v>30</v>
      </c>
      <c r="H100" s="188">
        <v>1</v>
      </c>
      <c r="I100" s="188">
        <f>B100</f>
        <v>12.33</v>
      </c>
      <c r="J100" s="188" t="s">
        <v>31</v>
      </c>
      <c r="K100" s="188" t="s">
        <v>31</v>
      </c>
      <c r="L100" s="188" t="s">
        <v>31</v>
      </c>
      <c r="M100" s="188" t="s">
        <v>31</v>
      </c>
      <c r="N100" s="188"/>
    </row>
    <row r="101" spans="1:14" s="17" customFormat="1" ht="15.6">
      <c r="A101" s="192" t="s">
        <v>1233</v>
      </c>
      <c r="B101" s="493">
        <f>B86</f>
        <v>12.33</v>
      </c>
      <c r="C101" s="188" t="s">
        <v>37</v>
      </c>
      <c r="D101" s="188" t="s">
        <v>2</v>
      </c>
      <c r="E101" s="188" t="s">
        <v>29</v>
      </c>
      <c r="F101" s="37" t="s">
        <v>14</v>
      </c>
      <c r="G101" s="188" t="s">
        <v>33</v>
      </c>
      <c r="H101" s="188">
        <v>1</v>
      </c>
      <c r="I101" s="188">
        <f>B101</f>
        <v>12.33</v>
      </c>
      <c r="J101" s="188" t="s">
        <v>31</v>
      </c>
      <c r="K101" s="188" t="s">
        <v>31</v>
      </c>
      <c r="L101" s="188" t="s">
        <v>31</v>
      </c>
      <c r="M101" s="188" t="s">
        <v>31</v>
      </c>
      <c r="N101" s="188"/>
    </row>
    <row r="102" spans="1:14" s="17" customFormat="1" ht="15.6">
      <c r="A102" s="130" t="s">
        <v>882</v>
      </c>
      <c r="B102" s="188">
        <v>3.5999999999999997E-2</v>
      </c>
      <c r="C102" s="188" t="s">
        <v>37</v>
      </c>
      <c r="D102" s="188" t="s">
        <v>40</v>
      </c>
      <c r="E102" s="188" t="s">
        <v>29</v>
      </c>
      <c r="F102" s="37" t="s">
        <v>82</v>
      </c>
      <c r="G102" s="188" t="s">
        <v>33</v>
      </c>
      <c r="H102" s="188">
        <v>1</v>
      </c>
      <c r="I102" s="188">
        <f t="shared" ref="I102:I104" si="8">B102</f>
        <v>3.5999999999999997E-2</v>
      </c>
      <c r="J102" s="188" t="s">
        <v>31</v>
      </c>
      <c r="K102" s="188" t="s">
        <v>31</v>
      </c>
      <c r="L102" s="188" t="s">
        <v>31</v>
      </c>
      <c r="M102" s="188" t="s">
        <v>31</v>
      </c>
      <c r="N102" s="188"/>
    </row>
    <row r="103" spans="1:14" s="17" customFormat="1" ht="15.6">
      <c r="A103" s="130" t="s">
        <v>883</v>
      </c>
      <c r="B103" s="188">
        <v>0.82</v>
      </c>
      <c r="C103" s="188" t="s">
        <v>609</v>
      </c>
      <c r="D103" s="188" t="s">
        <v>40</v>
      </c>
      <c r="E103" s="188" t="s">
        <v>29</v>
      </c>
      <c r="F103" s="37" t="s">
        <v>59</v>
      </c>
      <c r="G103" s="188" t="s">
        <v>33</v>
      </c>
      <c r="H103" s="188">
        <v>1</v>
      </c>
      <c r="I103" s="188">
        <f t="shared" si="8"/>
        <v>0.82</v>
      </c>
      <c r="J103" s="188" t="s">
        <v>31</v>
      </c>
      <c r="K103" s="188" t="s">
        <v>31</v>
      </c>
      <c r="L103" s="188" t="s">
        <v>31</v>
      </c>
      <c r="M103" s="188" t="s">
        <v>31</v>
      </c>
      <c r="N103" s="188"/>
    </row>
    <row r="104" spans="1:14" s="17" customFormat="1" ht="15.6">
      <c r="A104" s="130" t="s">
        <v>599</v>
      </c>
      <c r="B104" s="188">
        <v>3.5999999999999997E-2</v>
      </c>
      <c r="C104" s="188" t="s">
        <v>37</v>
      </c>
      <c r="D104" s="188" t="s">
        <v>40</v>
      </c>
      <c r="E104" s="188" t="s">
        <v>29</v>
      </c>
      <c r="F104" s="37" t="s">
        <v>59</v>
      </c>
      <c r="G104" s="188" t="s">
        <v>33</v>
      </c>
      <c r="H104" s="188">
        <v>1</v>
      </c>
      <c r="I104" s="188">
        <f t="shared" si="8"/>
        <v>3.5999999999999997E-2</v>
      </c>
      <c r="J104" s="188" t="s">
        <v>31</v>
      </c>
      <c r="K104" s="188" t="s">
        <v>31</v>
      </c>
      <c r="L104" s="188" t="s">
        <v>31</v>
      </c>
      <c r="M104" s="188" t="s">
        <v>31</v>
      </c>
      <c r="N104" s="188"/>
    </row>
  </sheetData>
  <pageMargins left="0.7" right="0.7" top="0.75" bottom="0.75" header="0.3" footer="0.3"/>
  <pageSetup paperSize="9" orientation="portrai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B0ED0-39CB-4C4F-BA13-2452D0BDDF52}">
  <sheetPr>
    <tabColor theme="6" tint="0.79998168889431442"/>
  </sheetPr>
  <dimension ref="A1:V49"/>
  <sheetViews>
    <sheetView topLeftCell="A12" zoomScaleNormal="100" workbookViewId="0">
      <selection activeCell="A12" sqref="A12"/>
    </sheetView>
  </sheetViews>
  <sheetFormatPr defaultRowHeight="14.45"/>
  <cols>
    <col min="1" max="1" width="68.7109375" bestFit="1" customWidth="1"/>
    <col min="2" max="2" width="13.5703125" customWidth="1"/>
    <col min="4" max="4" width="23.42578125" customWidth="1"/>
    <col min="7" max="7" width="12.7109375" customWidth="1"/>
    <col min="17" max="17" width="10" bestFit="1" customWidth="1"/>
  </cols>
  <sheetData>
    <row r="1" spans="1:22">
      <c r="A1" s="188" t="s">
        <v>0</v>
      </c>
      <c r="B1" s="188">
        <v>13</v>
      </c>
      <c r="C1" s="188"/>
      <c r="D1" s="188"/>
      <c r="E1" s="188"/>
      <c r="F1" s="188"/>
      <c r="G1" s="188"/>
      <c r="H1" s="188"/>
      <c r="I1" s="188"/>
      <c r="J1" s="188"/>
      <c r="K1" s="188"/>
      <c r="L1" s="188"/>
      <c r="M1" s="188"/>
      <c r="N1" s="188"/>
      <c r="O1" s="188"/>
      <c r="P1" s="188"/>
      <c r="Q1" s="188"/>
      <c r="R1" s="188"/>
      <c r="S1" s="188"/>
      <c r="T1" s="188"/>
      <c r="U1" s="188"/>
      <c r="V1" s="188"/>
    </row>
    <row r="2" spans="1:22" s="70" customFormat="1">
      <c r="A2" s="370" t="s">
        <v>5</v>
      </c>
      <c r="B2" s="371" t="s">
        <v>1218</v>
      </c>
      <c r="C2" s="353"/>
      <c r="D2" s="353"/>
      <c r="E2" s="353"/>
      <c r="F2" s="353"/>
      <c r="G2" s="353"/>
      <c r="H2" s="353"/>
      <c r="I2" s="353"/>
      <c r="J2" s="353"/>
      <c r="K2" s="353"/>
      <c r="L2" s="353"/>
      <c r="M2" s="353"/>
      <c r="N2" s="353"/>
      <c r="O2" s="353"/>
      <c r="P2" s="353"/>
      <c r="Q2" s="353"/>
      <c r="R2" s="353"/>
      <c r="S2" s="353"/>
      <c r="T2" s="353"/>
      <c r="U2" s="353"/>
      <c r="V2" s="353"/>
    </row>
    <row r="3" spans="1:22">
      <c r="A3" s="346" t="s">
        <v>7</v>
      </c>
      <c r="B3" s="188" t="s">
        <v>786</v>
      </c>
      <c r="C3" s="345"/>
      <c r="D3" s="188"/>
      <c r="E3" s="188"/>
      <c r="F3" s="188"/>
      <c r="G3" s="188"/>
      <c r="H3" s="188"/>
      <c r="I3" s="188"/>
      <c r="J3" s="188"/>
      <c r="K3" s="188"/>
      <c r="L3" s="188"/>
      <c r="M3" s="188"/>
      <c r="N3" s="188"/>
      <c r="O3" s="188"/>
      <c r="P3" s="188"/>
      <c r="Q3" s="188"/>
      <c r="R3" s="188"/>
      <c r="S3" s="188"/>
      <c r="T3" s="188"/>
      <c r="U3" s="188"/>
      <c r="V3" s="188"/>
    </row>
    <row r="4" spans="1:22">
      <c r="A4" s="424" t="s">
        <v>9</v>
      </c>
      <c r="B4" s="188" t="s">
        <v>1236</v>
      </c>
      <c r="C4" s="345"/>
      <c r="D4" s="188"/>
      <c r="E4" s="188"/>
      <c r="F4" s="188"/>
      <c r="G4" s="188"/>
      <c r="H4" s="188"/>
      <c r="I4" s="188"/>
      <c r="J4" s="188"/>
      <c r="K4" s="188"/>
      <c r="L4" s="188"/>
      <c r="M4" s="188"/>
      <c r="N4" s="188"/>
      <c r="O4" s="188"/>
      <c r="P4" s="188"/>
      <c r="Q4" s="188"/>
      <c r="R4" s="188"/>
      <c r="S4" s="188"/>
      <c r="T4" s="188"/>
      <c r="U4" s="188"/>
      <c r="V4" s="188"/>
    </row>
    <row r="5" spans="1:22" ht="15.75" customHeight="1">
      <c r="A5" s="346" t="s">
        <v>11</v>
      </c>
      <c r="B5" s="347" t="s">
        <v>796</v>
      </c>
      <c r="C5" s="188"/>
      <c r="D5" s="188"/>
      <c r="E5" s="188"/>
      <c r="F5" s="188"/>
      <c r="G5" s="188"/>
      <c r="H5" s="188"/>
      <c r="I5" s="188"/>
      <c r="J5" s="188"/>
      <c r="K5" s="188"/>
      <c r="L5" s="188"/>
      <c r="M5" s="188"/>
      <c r="N5" s="188"/>
      <c r="O5" s="188"/>
      <c r="P5" s="188"/>
      <c r="Q5" s="188"/>
      <c r="R5" s="188"/>
      <c r="S5" s="188"/>
      <c r="T5" s="188"/>
      <c r="U5" s="188"/>
      <c r="V5" s="188"/>
    </row>
    <row r="6" spans="1:22">
      <c r="A6" s="346" t="s">
        <v>13</v>
      </c>
      <c r="B6" s="188" t="s">
        <v>14</v>
      </c>
      <c r="C6" s="188"/>
      <c r="D6" s="188"/>
      <c r="E6" s="188"/>
      <c r="F6" s="188"/>
      <c r="G6" s="188"/>
      <c r="H6" s="188"/>
      <c r="I6" s="188"/>
      <c r="J6" s="188"/>
      <c r="K6" s="188"/>
      <c r="L6" s="188"/>
      <c r="M6" s="188"/>
      <c r="N6" s="188"/>
      <c r="O6" s="188"/>
      <c r="P6" s="188"/>
      <c r="Q6" s="188"/>
      <c r="R6" s="188"/>
      <c r="S6" s="188"/>
      <c r="T6" s="188"/>
      <c r="U6" s="188"/>
      <c r="V6" s="188"/>
    </row>
    <row r="7" spans="1:22">
      <c r="A7" s="346" t="s">
        <v>15</v>
      </c>
      <c r="B7" s="415">
        <f>B12</f>
        <v>0.03</v>
      </c>
      <c r="C7" s="188"/>
      <c r="D7" s="188"/>
      <c r="E7" s="188"/>
      <c r="F7" s="188"/>
      <c r="G7" s="188"/>
      <c r="H7" s="188"/>
      <c r="I7" s="188"/>
      <c r="J7" s="188"/>
      <c r="K7" s="188"/>
      <c r="L7" s="188"/>
      <c r="M7" s="188"/>
      <c r="N7" s="188"/>
      <c r="O7" s="188"/>
      <c r="P7" s="188"/>
      <c r="Q7" s="188"/>
      <c r="R7" s="188"/>
      <c r="S7" s="188"/>
      <c r="T7" s="188"/>
      <c r="U7" s="188"/>
      <c r="V7" s="188"/>
    </row>
    <row r="8" spans="1:22">
      <c r="A8" s="346" t="s">
        <v>16</v>
      </c>
      <c r="B8" s="188" t="s">
        <v>17</v>
      </c>
      <c r="C8" s="188"/>
      <c r="D8" s="188"/>
      <c r="E8" s="188"/>
      <c r="F8" s="188"/>
      <c r="G8" s="188"/>
      <c r="H8" s="188"/>
      <c r="I8" s="188"/>
      <c r="J8" s="188"/>
      <c r="K8" s="188"/>
      <c r="L8" s="188"/>
      <c r="M8" s="188"/>
      <c r="N8" s="188"/>
      <c r="O8" s="188"/>
      <c r="P8" s="188"/>
      <c r="Q8" s="188"/>
      <c r="R8" s="188"/>
      <c r="S8" s="188"/>
      <c r="T8" s="188"/>
      <c r="U8" s="188"/>
      <c r="V8" s="188"/>
    </row>
    <row r="9" spans="1:22">
      <c r="A9" s="346" t="s">
        <v>18</v>
      </c>
      <c r="B9" s="188" t="s">
        <v>37</v>
      </c>
      <c r="C9" s="188"/>
      <c r="D9" s="188"/>
      <c r="E9" s="188"/>
      <c r="F9" s="188"/>
      <c r="G9" s="188"/>
      <c r="H9" s="188"/>
      <c r="I9" s="188"/>
      <c r="J9" s="188"/>
      <c r="K9" s="188"/>
      <c r="L9" s="188"/>
      <c r="M9" s="188"/>
      <c r="N9" s="188"/>
      <c r="O9" s="188"/>
      <c r="P9" s="188"/>
      <c r="Q9" s="188"/>
      <c r="R9" s="188"/>
      <c r="S9" s="344" t="s">
        <v>885</v>
      </c>
      <c r="T9" s="188"/>
      <c r="U9" s="188"/>
      <c r="V9" s="188"/>
    </row>
    <row r="10" spans="1:22">
      <c r="A10" s="343" t="s">
        <v>19</v>
      </c>
      <c r="B10" s="188"/>
      <c r="C10" s="188"/>
      <c r="D10" s="188"/>
      <c r="E10" s="188"/>
      <c r="F10" s="188"/>
      <c r="G10" s="188"/>
      <c r="H10" s="188"/>
      <c r="I10" s="188"/>
      <c r="J10" s="188"/>
      <c r="K10" s="188"/>
      <c r="L10" s="188"/>
      <c r="M10" s="188"/>
      <c r="N10" s="188"/>
      <c r="O10" s="188"/>
      <c r="P10" s="188"/>
      <c r="Q10" s="188"/>
      <c r="R10" s="188"/>
      <c r="S10" s="188" t="s">
        <v>886</v>
      </c>
      <c r="T10" s="188">
        <v>8900</v>
      </c>
      <c r="U10" s="188" t="s">
        <v>887</v>
      </c>
      <c r="V10" s="188"/>
    </row>
    <row r="11" spans="1:22">
      <c r="A11" s="344"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t="s">
        <v>888</v>
      </c>
      <c r="T11" s="188">
        <f>5*10^-6</f>
        <v>4.9999999999999996E-6</v>
      </c>
      <c r="U11" s="188" t="s">
        <v>889</v>
      </c>
      <c r="V11" s="188"/>
    </row>
    <row r="12" spans="1:22">
      <c r="A12" s="188" t="s">
        <v>1218</v>
      </c>
      <c r="B12" s="461">
        <f>B13</f>
        <v>0.03</v>
      </c>
      <c r="C12" s="188" t="s">
        <v>37</v>
      </c>
      <c r="D12" s="408" t="s">
        <v>2</v>
      </c>
      <c r="E12" s="188" t="s">
        <v>29</v>
      </c>
      <c r="F12" s="188" t="s">
        <v>14</v>
      </c>
      <c r="G12" s="188" t="s">
        <v>30</v>
      </c>
      <c r="H12" s="188">
        <v>1</v>
      </c>
      <c r="I12" s="188">
        <v>1</v>
      </c>
      <c r="J12" s="188" t="s">
        <v>31</v>
      </c>
      <c r="K12" s="188" t="s">
        <v>31</v>
      </c>
      <c r="L12" s="188" t="s">
        <v>31</v>
      </c>
      <c r="M12" s="188" t="s">
        <v>31</v>
      </c>
      <c r="N12" s="188"/>
      <c r="O12" s="389" t="s">
        <v>1237</v>
      </c>
      <c r="P12" s="450"/>
      <c r="Q12" s="188" t="s">
        <v>231</v>
      </c>
      <c r="R12" s="188"/>
      <c r="S12" s="427" t="s">
        <v>890</v>
      </c>
      <c r="T12" s="428">
        <f>T11*T10</f>
        <v>4.4499999999999998E-2</v>
      </c>
      <c r="U12" s="429" t="s">
        <v>891</v>
      </c>
      <c r="V12" s="188"/>
    </row>
    <row r="13" spans="1:22">
      <c r="A13" s="188" t="s">
        <v>1238</v>
      </c>
      <c r="B13" s="461">
        <f>B28</f>
        <v>0.03</v>
      </c>
      <c r="C13" s="188" t="s">
        <v>609</v>
      </c>
      <c r="D13" s="408" t="s">
        <v>2</v>
      </c>
      <c r="E13" s="188" t="s">
        <v>29</v>
      </c>
      <c r="F13" s="188" t="s">
        <v>14</v>
      </c>
      <c r="G13" s="188" t="s">
        <v>33</v>
      </c>
      <c r="H13" s="188">
        <v>1</v>
      </c>
      <c r="I13" s="415">
        <f>B13</f>
        <v>0.03</v>
      </c>
      <c r="J13" s="188">
        <v>7.2284161474004766E-2</v>
      </c>
      <c r="K13" s="188" t="s">
        <v>31</v>
      </c>
      <c r="L13" s="188" t="s">
        <v>31</v>
      </c>
      <c r="M13" s="188" t="s">
        <v>31</v>
      </c>
      <c r="N13" s="188"/>
      <c r="O13" s="401" t="s">
        <v>892</v>
      </c>
      <c r="P13" s="462">
        <f>B13*100</f>
        <v>3</v>
      </c>
      <c r="Q13" s="188"/>
      <c r="R13" s="188"/>
      <c r="S13" s="188"/>
      <c r="T13" s="188"/>
      <c r="U13" s="188"/>
      <c r="V13" s="188"/>
    </row>
    <row r="14" spans="1:22">
      <c r="A14" s="192" t="s">
        <v>1230</v>
      </c>
      <c r="B14" s="420">
        <f>U15</f>
        <v>6.6305000000000003E-2</v>
      </c>
      <c r="C14" s="188" t="s">
        <v>37</v>
      </c>
      <c r="D14" s="408" t="s">
        <v>2</v>
      </c>
      <c r="E14" s="188" t="s">
        <v>29</v>
      </c>
      <c r="F14" s="37" t="s">
        <v>14</v>
      </c>
      <c r="G14" s="188" t="s">
        <v>33</v>
      </c>
      <c r="H14" s="188">
        <v>1</v>
      </c>
      <c r="I14" s="415">
        <f>B14</f>
        <v>6.6305000000000003E-2</v>
      </c>
      <c r="J14" s="188">
        <v>7.2284161474004766E-2</v>
      </c>
      <c r="K14" s="188" t="s">
        <v>31</v>
      </c>
      <c r="L14" s="188" t="s">
        <v>31</v>
      </c>
      <c r="M14" s="188" t="s">
        <v>31</v>
      </c>
      <c r="N14" s="188"/>
      <c r="O14" s="432"/>
      <c r="P14" s="433"/>
      <c r="Q14" s="188"/>
      <c r="R14" s="188"/>
      <c r="S14" s="188" t="s">
        <v>554</v>
      </c>
      <c r="T14" s="188"/>
      <c r="U14" s="188"/>
      <c r="V14" s="410"/>
    </row>
    <row r="15" spans="1:22">
      <c r="A15" s="346" t="s">
        <v>799</v>
      </c>
      <c r="B15" s="188">
        <f>Q15</f>
        <v>11.9</v>
      </c>
      <c r="C15" s="188" t="s">
        <v>37</v>
      </c>
      <c r="D15" s="188" t="s">
        <v>40</v>
      </c>
      <c r="E15" s="188" t="s">
        <v>29</v>
      </c>
      <c r="F15" s="37" t="s">
        <v>74</v>
      </c>
      <c r="G15" s="188" t="s">
        <v>33</v>
      </c>
      <c r="H15" s="188">
        <v>2</v>
      </c>
      <c r="I15" s="188">
        <f t="shared" ref="I15" si="0">LN(B15)</f>
        <v>2.4765384001174837</v>
      </c>
      <c r="J15" s="188">
        <v>7.2284161474004766E-2</v>
      </c>
      <c r="K15" s="188" t="s">
        <v>31</v>
      </c>
      <c r="L15" s="188" t="s">
        <v>31</v>
      </c>
      <c r="M15" s="188" t="s">
        <v>31</v>
      </c>
      <c r="N15" s="188"/>
      <c r="O15" s="401" t="s">
        <v>241</v>
      </c>
      <c r="P15" s="138">
        <v>11.9</v>
      </c>
      <c r="Q15" s="188">
        <f>P15</f>
        <v>11.9</v>
      </c>
      <c r="R15" s="188"/>
      <c r="S15" s="430">
        <v>1.49</v>
      </c>
      <c r="T15" s="431" t="s">
        <v>610</v>
      </c>
      <c r="U15" s="430">
        <f>S15*T12</f>
        <v>6.6305000000000003E-2</v>
      </c>
      <c r="V15" s="431" t="s">
        <v>241</v>
      </c>
    </row>
    <row r="16" spans="1:22">
      <c r="A16" s="88" t="s">
        <v>874</v>
      </c>
      <c r="B16" s="188">
        <f>Q16</f>
        <v>5.9999999999999997E-7</v>
      </c>
      <c r="C16" s="188" t="s">
        <v>37</v>
      </c>
      <c r="D16" s="188" t="s">
        <v>40</v>
      </c>
      <c r="E16" s="188" t="s">
        <v>29</v>
      </c>
      <c r="F16" s="37" t="s">
        <v>59</v>
      </c>
      <c r="G16" s="188" t="s">
        <v>33</v>
      </c>
      <c r="H16" s="188">
        <v>2</v>
      </c>
      <c r="I16" s="188">
        <f>LN(B16)</f>
        <v>-14.326336181730264</v>
      </c>
      <c r="J16" s="188">
        <v>7.2284161474004766E-2</v>
      </c>
      <c r="K16" s="188" t="s">
        <v>31</v>
      </c>
      <c r="L16" s="188" t="s">
        <v>31</v>
      </c>
      <c r="M16" s="188" t="s">
        <v>31</v>
      </c>
      <c r="N16" s="188"/>
      <c r="O16" s="416" t="s">
        <v>538</v>
      </c>
      <c r="P16" s="141">
        <v>0.6</v>
      </c>
      <c r="Q16" s="188">
        <f>0.000001*P16</f>
        <v>5.9999999999999997E-7</v>
      </c>
      <c r="R16" s="188"/>
      <c r="S16" s="188"/>
      <c r="T16" s="188"/>
      <c r="U16" s="188"/>
      <c r="V16" s="188"/>
    </row>
    <row r="17" spans="1:22">
      <c r="A17" s="88" t="s">
        <v>76</v>
      </c>
      <c r="B17" s="188">
        <f t="shared" ref="B17" si="1">Q17</f>
        <v>1.1900000000000001E-2</v>
      </c>
      <c r="C17" s="188" t="s">
        <v>42</v>
      </c>
      <c r="D17" s="188" t="s">
        <v>40</v>
      </c>
      <c r="E17" s="188" t="s">
        <v>29</v>
      </c>
      <c r="F17" s="37" t="s">
        <v>74</v>
      </c>
      <c r="G17" s="188" t="s">
        <v>33</v>
      </c>
      <c r="H17" s="188">
        <v>2</v>
      </c>
      <c r="I17" s="188">
        <f t="shared" ref="I17" si="2">LN(B17)</f>
        <v>-4.4312168788646531</v>
      </c>
      <c r="J17" s="188">
        <v>7.2284161474004766E-2</v>
      </c>
      <c r="K17" s="188" t="s">
        <v>31</v>
      </c>
      <c r="L17" s="188" t="s">
        <v>31</v>
      </c>
      <c r="M17" s="188" t="s">
        <v>31</v>
      </c>
      <c r="N17" s="188"/>
      <c r="O17" s="418" t="s">
        <v>863</v>
      </c>
      <c r="P17" s="142">
        <v>11.9</v>
      </c>
      <c r="Q17" s="188">
        <f>0.001*P17</f>
        <v>1.1900000000000001E-2</v>
      </c>
      <c r="R17" s="188"/>
      <c r="S17" s="188"/>
      <c r="T17" s="188"/>
      <c r="U17" s="188"/>
      <c r="V17" s="188"/>
    </row>
    <row r="18" spans="1:22" s="70" customFormat="1">
      <c r="A18" s="370" t="s">
        <v>5</v>
      </c>
      <c r="B18" s="371" t="s">
        <v>1238</v>
      </c>
      <c r="C18" s="353"/>
      <c r="D18" s="353"/>
      <c r="E18" s="353"/>
      <c r="F18" s="353"/>
      <c r="G18" s="353"/>
      <c r="H18" s="353"/>
      <c r="I18" s="353"/>
      <c r="J18" s="353"/>
      <c r="K18" s="353"/>
      <c r="L18" s="353"/>
      <c r="M18" s="353"/>
      <c r="N18" s="353"/>
      <c r="O18" s="353"/>
      <c r="P18" s="353"/>
      <c r="Q18" s="353"/>
      <c r="R18" s="353"/>
      <c r="S18" s="353"/>
      <c r="T18" s="353"/>
      <c r="U18" s="353"/>
      <c r="V18" s="353"/>
    </row>
    <row r="19" spans="1:22">
      <c r="A19" s="346" t="s">
        <v>7</v>
      </c>
      <c r="B19" s="188" t="s">
        <v>786</v>
      </c>
      <c r="C19" s="345"/>
      <c r="D19" s="188"/>
      <c r="E19" s="188"/>
      <c r="F19" s="188"/>
      <c r="G19" s="188"/>
      <c r="H19" s="188"/>
      <c r="I19" s="188"/>
      <c r="J19" s="188"/>
      <c r="K19" s="188"/>
      <c r="L19" s="188"/>
      <c r="M19" s="188"/>
      <c r="N19" s="188"/>
      <c r="O19" s="188"/>
      <c r="P19" s="188"/>
      <c r="Q19" s="188"/>
      <c r="R19" s="188"/>
      <c r="S19" s="188"/>
      <c r="T19" s="188"/>
      <c r="U19" s="188"/>
      <c r="V19" s="188"/>
    </row>
    <row r="20" spans="1:22">
      <c r="A20" s="424" t="s">
        <v>9</v>
      </c>
      <c r="B20" s="381" t="s">
        <v>1239</v>
      </c>
      <c r="C20" s="345"/>
      <c r="D20" s="188"/>
      <c r="E20" s="188"/>
      <c r="F20" s="188"/>
      <c r="G20" s="188"/>
      <c r="H20" s="188"/>
      <c r="I20" s="188"/>
      <c r="J20" s="188"/>
      <c r="K20" s="188"/>
      <c r="L20" s="188"/>
      <c r="M20" s="188"/>
      <c r="N20" s="188"/>
      <c r="O20" s="188"/>
      <c r="P20" s="188"/>
      <c r="Q20" s="188"/>
      <c r="R20" s="188"/>
      <c r="S20" s="188"/>
      <c r="T20" s="188"/>
      <c r="U20" s="188"/>
      <c r="V20" s="188"/>
    </row>
    <row r="21" spans="1:22" ht="15.75" customHeight="1">
      <c r="A21" s="346" t="s">
        <v>11</v>
      </c>
      <c r="B21" s="347" t="s">
        <v>796</v>
      </c>
      <c r="C21" s="188"/>
      <c r="D21" s="188"/>
      <c r="E21" s="188"/>
      <c r="F21" s="188"/>
      <c r="G21" s="188"/>
      <c r="H21" s="188"/>
      <c r="I21" s="188"/>
      <c r="J21" s="188"/>
      <c r="K21" s="188"/>
      <c r="L21" s="188"/>
      <c r="M21" s="188"/>
      <c r="N21" s="188"/>
      <c r="O21" s="188"/>
      <c r="P21" s="188"/>
      <c r="Q21" s="188"/>
      <c r="R21" s="188"/>
      <c r="S21" s="188"/>
      <c r="T21" s="188"/>
      <c r="U21" s="188"/>
      <c r="V21" s="188"/>
    </row>
    <row r="22" spans="1:22">
      <c r="A22" s="346" t="s">
        <v>13</v>
      </c>
      <c r="B22" s="188" t="s">
        <v>14</v>
      </c>
      <c r="C22" s="188"/>
      <c r="D22" s="188"/>
      <c r="E22" s="188"/>
      <c r="F22" s="188"/>
      <c r="G22" s="188"/>
      <c r="H22" s="188"/>
      <c r="I22" s="188"/>
      <c r="J22" s="188"/>
      <c r="K22" s="188"/>
      <c r="L22" s="188"/>
      <c r="M22" s="188"/>
      <c r="N22" s="188"/>
      <c r="O22" s="188"/>
      <c r="P22" s="188"/>
      <c r="Q22" s="188"/>
      <c r="R22" s="188"/>
      <c r="S22" s="188"/>
      <c r="T22" s="188"/>
      <c r="U22" s="188"/>
      <c r="V22" s="188"/>
    </row>
    <row r="23" spans="1:22">
      <c r="A23" s="346" t="s">
        <v>15</v>
      </c>
      <c r="B23" s="415">
        <f>B28</f>
        <v>0.03</v>
      </c>
      <c r="C23" s="188"/>
      <c r="D23" s="188"/>
      <c r="E23" s="188"/>
      <c r="F23" s="188"/>
      <c r="G23" s="188"/>
      <c r="H23" s="188"/>
      <c r="I23" s="188"/>
      <c r="J23" s="188"/>
      <c r="K23" s="188"/>
      <c r="L23" s="188"/>
      <c r="M23" s="188"/>
      <c r="N23" s="188"/>
      <c r="O23" s="188"/>
      <c r="P23" s="188"/>
      <c r="Q23" s="188"/>
      <c r="R23" s="188"/>
      <c r="S23" s="188"/>
      <c r="T23" s="188"/>
      <c r="U23" s="188"/>
      <c r="V23" s="188"/>
    </row>
    <row r="24" spans="1:22">
      <c r="A24" s="346" t="s">
        <v>16</v>
      </c>
      <c r="B24" s="188" t="s">
        <v>17</v>
      </c>
      <c r="C24" s="188"/>
      <c r="D24" s="188"/>
      <c r="E24" s="188"/>
      <c r="F24" s="188"/>
      <c r="G24" s="188"/>
      <c r="H24" s="188"/>
      <c r="I24" s="188"/>
      <c r="J24" s="188"/>
      <c r="K24" s="188"/>
      <c r="L24" s="188"/>
      <c r="M24" s="188"/>
      <c r="N24" s="188"/>
      <c r="O24" s="188"/>
      <c r="P24" s="188"/>
      <c r="Q24" s="188"/>
      <c r="R24" s="188"/>
      <c r="S24" s="188"/>
      <c r="T24" s="188"/>
      <c r="U24" s="188"/>
      <c r="V24" s="188"/>
    </row>
    <row r="25" spans="1:22">
      <c r="A25" s="346" t="s">
        <v>18</v>
      </c>
      <c r="B25" s="188" t="s">
        <v>609</v>
      </c>
      <c r="C25" s="188"/>
      <c r="D25" s="188"/>
      <c r="E25" s="188"/>
      <c r="F25" s="188"/>
      <c r="G25" s="188"/>
      <c r="H25" s="188"/>
      <c r="I25" s="188"/>
      <c r="J25" s="188"/>
      <c r="K25" s="188"/>
      <c r="L25" s="188"/>
      <c r="M25" s="188"/>
      <c r="N25" s="188"/>
      <c r="O25" s="188"/>
      <c r="P25" s="188"/>
      <c r="Q25" s="188"/>
      <c r="R25" s="188"/>
      <c r="S25" s="188"/>
      <c r="T25" s="188"/>
      <c r="U25" s="188"/>
      <c r="V25" s="188"/>
    </row>
    <row r="26" spans="1:22">
      <c r="A26" s="343" t="s">
        <v>19</v>
      </c>
      <c r="B26" s="188"/>
      <c r="C26" s="188"/>
      <c r="D26" s="188"/>
      <c r="E26" s="188"/>
      <c r="F26" s="188"/>
      <c r="G26" s="188"/>
      <c r="H26" s="188"/>
      <c r="I26" s="188"/>
      <c r="J26" s="188"/>
      <c r="K26" s="188"/>
      <c r="L26" s="188"/>
      <c r="M26" s="188"/>
      <c r="N26" s="188"/>
      <c r="O26" s="188"/>
      <c r="P26" s="188"/>
      <c r="Q26" s="188"/>
      <c r="R26" s="188"/>
      <c r="S26" s="188"/>
      <c r="T26" s="188"/>
      <c r="U26" s="188"/>
      <c r="V26" s="188"/>
    </row>
    <row r="27" spans="1:22">
      <c r="A27" s="344"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c r="O27" s="188"/>
      <c r="P27" s="188"/>
      <c r="Q27" s="188"/>
      <c r="R27" s="188"/>
      <c r="S27" s="188"/>
      <c r="T27" s="415"/>
      <c r="U27" s="188"/>
      <c r="V27" s="188"/>
    </row>
    <row r="28" spans="1:22">
      <c r="A28" s="188" t="s">
        <v>1238</v>
      </c>
      <c r="B28" s="415">
        <v>0.03</v>
      </c>
      <c r="C28" s="188" t="s">
        <v>609</v>
      </c>
      <c r="D28" s="408" t="s">
        <v>2</v>
      </c>
      <c r="E28" s="188" t="s">
        <v>29</v>
      </c>
      <c r="F28" s="188" t="s">
        <v>14</v>
      </c>
      <c r="G28" s="188" t="s">
        <v>30</v>
      </c>
      <c r="H28" s="188">
        <v>1</v>
      </c>
      <c r="I28" s="415">
        <f>B28</f>
        <v>0.03</v>
      </c>
      <c r="J28" s="188">
        <v>7.2284161474004766E-2</v>
      </c>
      <c r="K28" s="188" t="s">
        <v>31</v>
      </c>
      <c r="L28" s="188" t="s">
        <v>31</v>
      </c>
      <c r="M28" s="188" t="s">
        <v>31</v>
      </c>
      <c r="N28" s="188"/>
      <c r="O28" s="401" t="s">
        <v>892</v>
      </c>
      <c r="P28" s="414">
        <f>B28*100</f>
        <v>3</v>
      </c>
      <c r="Q28" s="188"/>
      <c r="R28" s="188"/>
      <c r="S28" s="188"/>
      <c r="T28" s="188"/>
      <c r="U28" s="188"/>
      <c r="V28" s="188"/>
    </row>
    <row r="29" spans="1:22">
      <c r="A29" s="188" t="s">
        <v>1240</v>
      </c>
      <c r="B29" s="415">
        <v>0.03</v>
      </c>
      <c r="C29" s="188" t="s">
        <v>609</v>
      </c>
      <c r="D29" s="408" t="s">
        <v>2</v>
      </c>
      <c r="E29" s="188" t="s">
        <v>29</v>
      </c>
      <c r="F29" s="188" t="s">
        <v>14</v>
      </c>
      <c r="G29" s="188" t="s">
        <v>33</v>
      </c>
      <c r="H29" s="188">
        <v>1</v>
      </c>
      <c r="I29" s="415">
        <f>B29</f>
        <v>0.03</v>
      </c>
      <c r="J29" s="188">
        <v>7.2284161474004766E-2</v>
      </c>
      <c r="K29" s="188" t="s">
        <v>31</v>
      </c>
      <c r="L29" s="188" t="s">
        <v>31</v>
      </c>
      <c r="M29" s="188" t="s">
        <v>31</v>
      </c>
      <c r="N29" s="188"/>
      <c r="O29" s="188"/>
      <c r="P29" s="188"/>
      <c r="Q29" s="188"/>
      <c r="R29" s="188"/>
      <c r="S29" s="188"/>
      <c r="T29" s="188"/>
      <c r="U29" s="188"/>
      <c r="V29" s="188"/>
    </row>
    <row r="30" spans="1:22">
      <c r="A30" s="346" t="s">
        <v>269</v>
      </c>
      <c r="B30" s="350">
        <f>P30</f>
        <v>0.64</v>
      </c>
      <c r="C30" s="188" t="s">
        <v>39</v>
      </c>
      <c r="D30" s="188" t="s">
        <v>40</v>
      </c>
      <c r="E30" s="188" t="s">
        <v>29</v>
      </c>
      <c r="F30" s="37" t="s">
        <v>35</v>
      </c>
      <c r="G30" s="188" t="s">
        <v>33</v>
      </c>
      <c r="H30" s="188">
        <v>2</v>
      </c>
      <c r="I30" s="188">
        <f t="shared" ref="I30:I31" si="3">LN(B30)</f>
        <v>-0.44628710262841947</v>
      </c>
      <c r="J30" s="188">
        <v>7.2284161474004766E-2</v>
      </c>
      <c r="K30" s="188" t="s">
        <v>31</v>
      </c>
      <c r="L30" s="188" t="s">
        <v>31</v>
      </c>
      <c r="M30" s="188" t="s">
        <v>31</v>
      </c>
      <c r="N30" s="188"/>
      <c r="O30" s="401" t="s">
        <v>248</v>
      </c>
      <c r="P30" s="114">
        <v>0.64</v>
      </c>
      <c r="Q30" s="188"/>
      <c r="R30" s="188"/>
      <c r="S30" s="188"/>
      <c r="T30" s="188"/>
      <c r="U30" s="188"/>
      <c r="V30" s="188"/>
    </row>
    <row r="31" spans="1:22">
      <c r="A31" s="88" t="s">
        <v>310</v>
      </c>
      <c r="B31" s="188">
        <f>R31</f>
        <v>1.4999999999999999E-2</v>
      </c>
      <c r="C31" s="415" t="s">
        <v>37</v>
      </c>
      <c r="D31" s="188" t="s">
        <v>40</v>
      </c>
      <c r="E31" s="188" t="s">
        <v>29</v>
      </c>
      <c r="F31" s="188" t="s">
        <v>59</v>
      </c>
      <c r="G31" s="188" t="s">
        <v>33</v>
      </c>
      <c r="H31" s="188">
        <v>2</v>
      </c>
      <c r="I31" s="188">
        <f t="shared" si="3"/>
        <v>-4.1997050778799272</v>
      </c>
      <c r="J31" s="188">
        <v>7.2284161474004766E-2</v>
      </c>
      <c r="K31" s="188" t="s">
        <v>31</v>
      </c>
      <c r="L31" s="188" t="s">
        <v>31</v>
      </c>
      <c r="M31" s="188" t="s">
        <v>31</v>
      </c>
      <c r="N31" s="188"/>
      <c r="O31" s="401" t="s">
        <v>580</v>
      </c>
      <c r="P31" s="114">
        <v>15</v>
      </c>
      <c r="Q31" s="188" t="s">
        <v>241</v>
      </c>
      <c r="R31" s="188">
        <f>P31*0.001</f>
        <v>1.4999999999999999E-2</v>
      </c>
      <c r="S31" s="188"/>
      <c r="T31" s="188"/>
      <c r="U31" s="188"/>
      <c r="V31" s="188"/>
    </row>
    <row r="32" spans="1:22">
      <c r="A32" s="112" t="s">
        <v>871</v>
      </c>
      <c r="B32" s="188">
        <f t="shared" ref="B32:B33" si="4">R32</f>
        <v>2.8000000000000001E-2</v>
      </c>
      <c r="C32" s="188" t="s">
        <v>37</v>
      </c>
      <c r="D32" s="188" t="s">
        <v>40</v>
      </c>
      <c r="E32" s="188" t="s">
        <v>29</v>
      </c>
      <c r="F32" s="37" t="s">
        <v>35</v>
      </c>
      <c r="G32" s="188" t="s">
        <v>33</v>
      </c>
      <c r="H32" s="188">
        <v>2</v>
      </c>
      <c r="I32" s="188">
        <f>LN(B32)</f>
        <v>-3.575550768806933</v>
      </c>
      <c r="J32" s="188">
        <v>7.2284161474004766E-2</v>
      </c>
      <c r="K32" s="188" t="s">
        <v>31</v>
      </c>
      <c r="L32" s="188" t="s">
        <v>31</v>
      </c>
      <c r="M32" s="188" t="s">
        <v>31</v>
      </c>
      <c r="N32" s="188"/>
      <c r="O32" s="401" t="s">
        <v>580</v>
      </c>
      <c r="P32" s="114">
        <v>28</v>
      </c>
      <c r="Q32" s="188" t="s">
        <v>241</v>
      </c>
      <c r="R32" s="188">
        <f>P32*0.001</f>
        <v>2.8000000000000001E-2</v>
      </c>
      <c r="S32" s="188"/>
      <c r="T32" s="188"/>
      <c r="U32" s="188"/>
      <c r="V32" s="188"/>
    </row>
    <row r="33" spans="1:22">
      <c r="A33" s="346" t="s">
        <v>799</v>
      </c>
      <c r="B33" s="188">
        <f t="shared" si="4"/>
        <v>24.6</v>
      </c>
      <c r="C33" s="188" t="s">
        <v>37</v>
      </c>
      <c r="D33" s="188" t="s">
        <v>40</v>
      </c>
      <c r="E33" s="188" t="s">
        <v>29</v>
      </c>
      <c r="F33" s="37" t="s">
        <v>74</v>
      </c>
      <c r="G33" s="188" t="s">
        <v>33</v>
      </c>
      <c r="H33" s="188">
        <v>2</v>
      </c>
      <c r="I33" s="188">
        <f t="shared" ref="I33:I34" si="5">LN(B33)</f>
        <v>3.202746442938317</v>
      </c>
      <c r="J33" s="188">
        <v>7.2284161474004766E-2</v>
      </c>
      <c r="K33" s="188" t="s">
        <v>31</v>
      </c>
      <c r="L33" s="188" t="s">
        <v>31</v>
      </c>
      <c r="M33" s="188" t="s">
        <v>31</v>
      </c>
      <c r="N33" s="188"/>
      <c r="O33" s="401" t="s">
        <v>241</v>
      </c>
      <c r="P33" s="114">
        <v>24.6</v>
      </c>
      <c r="Q33" s="188" t="s">
        <v>241</v>
      </c>
      <c r="R33" s="188">
        <f>P33</f>
        <v>24.6</v>
      </c>
      <c r="S33" s="188"/>
      <c r="T33" s="188"/>
      <c r="U33" s="188"/>
      <c r="V33" s="188"/>
    </row>
    <row r="34" spans="1:22">
      <c r="A34" s="88" t="s">
        <v>76</v>
      </c>
      <c r="B34" s="188">
        <f>R34</f>
        <v>2.46E-2</v>
      </c>
      <c r="C34" s="188" t="s">
        <v>42</v>
      </c>
      <c r="D34" s="188" t="s">
        <v>40</v>
      </c>
      <c r="E34" s="188" t="s">
        <v>29</v>
      </c>
      <c r="F34" s="37" t="s">
        <v>74</v>
      </c>
      <c r="G34" s="188" t="s">
        <v>33</v>
      </c>
      <c r="H34" s="188">
        <v>2</v>
      </c>
      <c r="I34" s="188">
        <f t="shared" si="5"/>
        <v>-3.7050088360438198</v>
      </c>
      <c r="J34" s="188">
        <v>7.2284161474004766E-2</v>
      </c>
      <c r="K34" s="188" t="s">
        <v>31</v>
      </c>
      <c r="L34" s="188" t="s">
        <v>31</v>
      </c>
      <c r="M34" s="188" t="s">
        <v>31</v>
      </c>
      <c r="N34" s="188"/>
      <c r="O34" s="418" t="s">
        <v>863</v>
      </c>
      <c r="P34" s="119">
        <v>24.6</v>
      </c>
      <c r="Q34" s="188" t="s">
        <v>251</v>
      </c>
      <c r="R34" s="188">
        <f>0.001*P34</f>
        <v>2.46E-2</v>
      </c>
      <c r="S34" s="188"/>
      <c r="T34" s="188"/>
      <c r="U34" s="188"/>
      <c r="V34" s="188"/>
    </row>
    <row r="35" spans="1:22" s="70" customFormat="1">
      <c r="A35" s="370" t="s">
        <v>5</v>
      </c>
      <c r="B35" s="371" t="s">
        <v>1240</v>
      </c>
      <c r="C35" s="353"/>
      <c r="D35" s="353"/>
      <c r="E35" s="353"/>
      <c r="F35" s="353"/>
      <c r="G35" s="353"/>
      <c r="H35" s="353"/>
      <c r="I35" s="353"/>
      <c r="J35" s="353"/>
      <c r="K35" s="353"/>
      <c r="L35" s="353"/>
      <c r="M35" s="353"/>
      <c r="N35" s="353"/>
      <c r="O35" s="353"/>
      <c r="P35" s="353"/>
      <c r="Q35" s="353"/>
      <c r="R35" s="353"/>
      <c r="S35" s="353"/>
      <c r="T35" s="353"/>
      <c r="U35" s="353"/>
      <c r="V35" s="353"/>
    </row>
    <row r="36" spans="1:22">
      <c r="A36" s="346" t="s">
        <v>7</v>
      </c>
      <c r="B36" s="188" t="s">
        <v>786</v>
      </c>
      <c r="C36" s="345"/>
      <c r="D36" s="188"/>
      <c r="E36" s="188"/>
      <c r="F36" s="188"/>
      <c r="G36" s="188"/>
      <c r="H36" s="188"/>
      <c r="I36" s="188"/>
      <c r="J36" s="188"/>
      <c r="K36" s="188"/>
      <c r="L36" s="188"/>
      <c r="M36" s="188"/>
      <c r="N36" s="188"/>
      <c r="O36" s="188"/>
      <c r="P36" s="188"/>
      <c r="Q36" s="188"/>
      <c r="R36" s="188"/>
      <c r="S36" s="188"/>
      <c r="T36" s="188"/>
      <c r="U36" s="188"/>
      <c r="V36" s="188"/>
    </row>
    <row r="37" spans="1:22">
      <c r="A37" s="424" t="s">
        <v>9</v>
      </c>
      <c r="B37" s="381" t="s">
        <v>1241</v>
      </c>
      <c r="C37" s="345"/>
      <c r="D37" s="188"/>
      <c r="E37" s="188"/>
      <c r="F37" s="188"/>
      <c r="G37" s="188"/>
      <c r="H37" s="188"/>
      <c r="I37" s="188"/>
      <c r="J37" s="188"/>
      <c r="K37" s="188"/>
      <c r="L37" s="188"/>
      <c r="M37" s="188"/>
      <c r="N37" s="188"/>
      <c r="O37" s="188"/>
      <c r="P37" s="188"/>
      <c r="Q37" s="188"/>
      <c r="R37" s="188"/>
      <c r="S37" s="188"/>
      <c r="T37" s="188"/>
      <c r="U37" s="188"/>
      <c r="V37" s="188"/>
    </row>
    <row r="38" spans="1:22" ht="15.75" customHeight="1">
      <c r="A38" s="346" t="s">
        <v>11</v>
      </c>
      <c r="B38" s="347" t="s">
        <v>796</v>
      </c>
      <c r="C38" s="188"/>
      <c r="D38" s="188"/>
      <c r="E38" s="188"/>
      <c r="F38" s="188"/>
      <c r="G38" s="188"/>
      <c r="H38" s="188"/>
      <c r="I38" s="188"/>
      <c r="J38" s="188"/>
      <c r="K38" s="188"/>
      <c r="L38" s="188"/>
      <c r="M38" s="188"/>
      <c r="N38" s="188"/>
      <c r="O38" s="188"/>
      <c r="P38" s="188"/>
      <c r="Q38" s="188"/>
      <c r="R38" s="188"/>
      <c r="S38" s="188"/>
      <c r="T38" s="188"/>
      <c r="U38" s="188"/>
      <c r="V38" s="188"/>
    </row>
    <row r="39" spans="1:22">
      <c r="A39" s="346" t="s">
        <v>13</v>
      </c>
      <c r="B39" s="188" t="s">
        <v>14</v>
      </c>
      <c r="C39" s="188"/>
      <c r="D39" s="188"/>
      <c r="E39" s="188"/>
      <c r="F39" s="188"/>
      <c r="G39" s="188"/>
      <c r="H39" s="188"/>
      <c r="I39" s="188"/>
      <c r="J39" s="188"/>
      <c r="K39" s="188"/>
      <c r="L39" s="188"/>
      <c r="M39" s="188"/>
      <c r="N39" s="188"/>
      <c r="O39" s="188"/>
      <c r="P39" s="188"/>
      <c r="Q39" s="188"/>
      <c r="R39" s="188"/>
      <c r="S39" s="188"/>
      <c r="T39" s="188"/>
      <c r="U39" s="188"/>
      <c r="V39" s="188"/>
    </row>
    <row r="40" spans="1:22">
      <c r="A40" s="346" t="s">
        <v>15</v>
      </c>
      <c r="B40" s="415">
        <f>B45</f>
        <v>0.03</v>
      </c>
      <c r="C40" s="188"/>
      <c r="D40" s="188"/>
      <c r="E40" s="188"/>
      <c r="F40" s="188"/>
      <c r="G40" s="188"/>
      <c r="H40" s="188"/>
      <c r="I40" s="188"/>
      <c r="J40" s="188"/>
      <c r="K40" s="188"/>
      <c r="L40" s="188"/>
      <c r="M40" s="188"/>
      <c r="N40" s="188"/>
      <c r="O40" s="188"/>
      <c r="P40" s="188"/>
      <c r="Q40" s="188"/>
      <c r="R40" s="188"/>
      <c r="S40" s="188"/>
      <c r="T40" s="188"/>
      <c r="U40" s="188"/>
      <c r="V40" s="188"/>
    </row>
    <row r="41" spans="1:22">
      <c r="A41" s="346" t="s">
        <v>16</v>
      </c>
      <c r="B41" s="188" t="s">
        <v>17</v>
      </c>
      <c r="C41" s="188"/>
      <c r="D41" s="188"/>
      <c r="E41" s="188"/>
      <c r="F41" s="188"/>
      <c r="G41" s="188"/>
      <c r="H41" s="188"/>
      <c r="I41" s="188"/>
      <c r="J41" s="188"/>
      <c r="K41" s="188"/>
      <c r="L41" s="188"/>
      <c r="M41" s="188"/>
      <c r="N41" s="188"/>
      <c r="O41" s="188"/>
      <c r="P41" s="188"/>
      <c r="Q41" s="188"/>
      <c r="R41" s="188"/>
      <c r="S41" s="188"/>
      <c r="T41" s="188"/>
      <c r="U41" s="188"/>
      <c r="V41" s="188"/>
    </row>
    <row r="42" spans="1:22">
      <c r="A42" s="346" t="s">
        <v>18</v>
      </c>
      <c r="B42" s="188" t="s">
        <v>609</v>
      </c>
      <c r="C42" s="188"/>
      <c r="D42" s="188"/>
      <c r="E42" s="188"/>
      <c r="F42" s="188"/>
      <c r="G42" s="188"/>
      <c r="H42" s="188"/>
      <c r="I42" s="188"/>
      <c r="J42" s="188"/>
      <c r="K42" s="188"/>
      <c r="L42" s="188"/>
      <c r="M42" s="188"/>
      <c r="N42" s="188"/>
      <c r="O42" s="188"/>
      <c r="P42" s="188"/>
      <c r="Q42" s="188"/>
      <c r="R42" s="188"/>
      <c r="S42" s="188"/>
      <c r="T42" s="188"/>
      <c r="U42" s="188"/>
      <c r="V42" s="188"/>
    </row>
    <row r="43" spans="1:22">
      <c r="A43" s="343" t="s">
        <v>19</v>
      </c>
      <c r="B43" s="188"/>
      <c r="C43" s="188"/>
      <c r="D43" s="188"/>
      <c r="E43" s="188"/>
      <c r="F43" s="188"/>
      <c r="G43" s="188"/>
      <c r="H43" s="188"/>
      <c r="I43" s="188"/>
      <c r="J43" s="188"/>
      <c r="K43" s="188"/>
      <c r="L43" s="188"/>
      <c r="M43" s="188"/>
      <c r="N43" s="188"/>
      <c r="O43" s="188"/>
      <c r="P43" s="188"/>
      <c r="Q43" s="188"/>
      <c r="R43" s="188"/>
      <c r="S43" s="188"/>
      <c r="T43" s="188"/>
      <c r="U43" s="188"/>
      <c r="V43" s="188"/>
    </row>
    <row r="44" spans="1:22">
      <c r="A44" s="344" t="s">
        <v>20</v>
      </c>
      <c r="B44" s="344" t="s">
        <v>21</v>
      </c>
      <c r="C44" s="344" t="s">
        <v>18</v>
      </c>
      <c r="D44" s="344" t="s">
        <v>22</v>
      </c>
      <c r="E44" s="344" t="s">
        <v>7</v>
      </c>
      <c r="F44" s="344" t="s">
        <v>13</v>
      </c>
      <c r="G44" s="344" t="s">
        <v>16</v>
      </c>
      <c r="H44" s="344" t="s">
        <v>23</v>
      </c>
      <c r="I44" s="344" t="s">
        <v>24</v>
      </c>
      <c r="J44" s="344" t="s">
        <v>25</v>
      </c>
      <c r="K44" s="344" t="s">
        <v>26</v>
      </c>
      <c r="L44" s="344" t="s">
        <v>27</v>
      </c>
      <c r="M44" s="344" t="s">
        <v>28</v>
      </c>
      <c r="N44" s="344" t="s">
        <v>11</v>
      </c>
      <c r="O44" s="188"/>
      <c r="P44" s="188"/>
      <c r="Q44" s="188"/>
      <c r="R44" s="188"/>
      <c r="S44" s="188"/>
      <c r="T44" s="415"/>
      <c r="U44" s="188"/>
      <c r="V44" s="188"/>
    </row>
    <row r="45" spans="1:22">
      <c r="A45" s="188" t="s">
        <v>1240</v>
      </c>
      <c r="B45" s="415">
        <f>B29</f>
        <v>0.03</v>
      </c>
      <c r="C45" s="188" t="s">
        <v>609</v>
      </c>
      <c r="D45" s="408" t="s">
        <v>2</v>
      </c>
      <c r="E45" s="188" t="s">
        <v>29</v>
      </c>
      <c r="F45" s="188" t="s">
        <v>14</v>
      </c>
      <c r="G45" s="188" t="s">
        <v>30</v>
      </c>
      <c r="H45" s="188">
        <v>1</v>
      </c>
      <c r="I45" s="415">
        <f>B45</f>
        <v>0.03</v>
      </c>
      <c r="J45" s="188" t="s">
        <v>31</v>
      </c>
      <c r="K45" s="188" t="s">
        <v>31</v>
      </c>
      <c r="L45" s="188" t="s">
        <v>31</v>
      </c>
      <c r="M45" s="188" t="s">
        <v>31</v>
      </c>
      <c r="N45" s="188"/>
      <c r="O45" s="188"/>
      <c r="P45" s="188"/>
      <c r="Q45" s="188" t="s">
        <v>1242</v>
      </c>
      <c r="R45" s="188"/>
      <c r="S45" s="188"/>
      <c r="T45" s="188"/>
      <c r="U45" s="188"/>
      <c r="V45" s="188"/>
    </row>
    <row r="46" spans="1:22">
      <c r="A46" s="88" t="s">
        <v>897</v>
      </c>
      <c r="B46" s="462">
        <v>0.4</v>
      </c>
      <c r="C46" s="188" t="s">
        <v>37</v>
      </c>
      <c r="D46" s="188" t="s">
        <v>40</v>
      </c>
      <c r="E46" s="188" t="s">
        <v>29</v>
      </c>
      <c r="F46" s="188" t="s">
        <v>82</v>
      </c>
      <c r="G46" s="188" t="s">
        <v>33</v>
      </c>
      <c r="H46" s="188">
        <v>1</v>
      </c>
      <c r="I46" s="415">
        <f t="shared" ref="I46:I47" si="6">B46</f>
        <v>0.4</v>
      </c>
      <c r="J46" s="188" t="s">
        <v>31</v>
      </c>
      <c r="K46" s="188" t="s">
        <v>31</v>
      </c>
      <c r="L46" s="188" t="s">
        <v>31</v>
      </c>
      <c r="M46" s="188" t="s">
        <v>31</v>
      </c>
      <c r="N46" s="188"/>
      <c r="O46" s="188"/>
      <c r="P46" s="188"/>
      <c r="Q46" s="188"/>
      <c r="R46" s="188"/>
      <c r="S46" s="188"/>
      <c r="T46" s="188"/>
      <c r="U46" s="188"/>
      <c r="V46" s="188"/>
    </row>
    <row r="47" spans="1:22">
      <c r="A47" s="88" t="s">
        <v>898</v>
      </c>
      <c r="B47" s="462">
        <v>0.4</v>
      </c>
      <c r="C47" s="188" t="s">
        <v>37</v>
      </c>
      <c r="D47" s="188" t="s">
        <v>40</v>
      </c>
      <c r="E47" s="188" t="s">
        <v>29</v>
      </c>
      <c r="F47" s="188" t="s">
        <v>59</v>
      </c>
      <c r="G47" s="188" t="s">
        <v>33</v>
      </c>
      <c r="H47" s="188">
        <v>1</v>
      </c>
      <c r="I47" s="415">
        <f t="shared" si="6"/>
        <v>0.4</v>
      </c>
      <c r="J47" s="188" t="s">
        <v>31</v>
      </c>
      <c r="K47" s="188" t="s">
        <v>31</v>
      </c>
      <c r="L47" s="188" t="s">
        <v>31</v>
      </c>
      <c r="M47" s="188" t="s">
        <v>31</v>
      </c>
      <c r="N47" s="188"/>
      <c r="O47" s="188"/>
      <c r="P47" s="188"/>
      <c r="Q47" s="188"/>
      <c r="R47" s="188"/>
      <c r="S47" s="188"/>
      <c r="T47" s="188"/>
      <c r="U47" s="188"/>
      <c r="V47" s="188"/>
    </row>
    <row r="49" ht="17.25" customHeight="1"/>
  </sheetData>
  <pageMargins left="0.7" right="0.7" top="0.75" bottom="0.75" header="0.3" footer="0.3"/>
  <pageSetup paperSize="9"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6A4BF-5C45-4625-A650-90250BBF4835}">
  <sheetPr>
    <tabColor theme="6" tint="0.79998168889431442"/>
  </sheetPr>
  <dimension ref="A1:Y57"/>
  <sheetViews>
    <sheetView topLeftCell="A27" zoomScale="85" zoomScaleNormal="85" workbookViewId="0">
      <selection activeCell="A12" sqref="A12"/>
    </sheetView>
  </sheetViews>
  <sheetFormatPr defaultRowHeight="14.45"/>
  <cols>
    <col min="1" max="1" width="74" customWidth="1"/>
    <col min="5" max="5" width="34.28515625" customWidth="1"/>
    <col min="6" max="6" width="16.7109375" customWidth="1"/>
    <col min="8" max="8" width="14.28515625" customWidth="1"/>
  </cols>
  <sheetData>
    <row r="1" spans="1:21">
      <c r="A1" s="188" t="s">
        <v>0</v>
      </c>
      <c r="B1" s="188">
        <v>14</v>
      </c>
      <c r="C1" s="188"/>
      <c r="D1" s="188"/>
      <c r="E1" s="188"/>
      <c r="F1" s="188"/>
      <c r="G1" s="188"/>
      <c r="H1" s="188"/>
      <c r="I1" s="188"/>
      <c r="J1" s="188"/>
      <c r="K1" s="188"/>
      <c r="L1" s="188"/>
      <c r="M1" s="188"/>
      <c r="N1" s="188"/>
      <c r="O1" s="188"/>
      <c r="P1" s="188"/>
      <c r="Q1" s="188"/>
      <c r="R1" s="192"/>
      <c r="S1" s="421"/>
    </row>
    <row r="2" spans="1:21" s="70" customFormat="1">
      <c r="A2" s="370" t="s">
        <v>5</v>
      </c>
      <c r="B2" s="371" t="s">
        <v>1220</v>
      </c>
      <c r="C2" s="371"/>
      <c r="D2" s="353"/>
      <c r="E2" s="353"/>
      <c r="F2" s="353"/>
      <c r="G2" s="353"/>
      <c r="H2" s="353"/>
      <c r="I2" s="353"/>
      <c r="J2" s="353"/>
      <c r="K2" s="353"/>
      <c r="L2" s="353"/>
      <c r="M2" s="353"/>
      <c r="N2" s="353"/>
      <c r="O2" s="353"/>
      <c r="P2" s="353"/>
      <c r="Q2" s="353"/>
      <c r="R2" s="436"/>
      <c r="S2" s="437"/>
    </row>
    <row r="3" spans="1:21">
      <c r="A3" s="346" t="s">
        <v>7</v>
      </c>
      <c r="B3" s="188" t="s">
        <v>786</v>
      </c>
      <c r="C3" s="188"/>
      <c r="D3" s="345"/>
      <c r="E3" s="188"/>
      <c r="F3" s="188"/>
      <c r="G3" s="188"/>
      <c r="H3" s="188"/>
      <c r="I3" s="188"/>
      <c r="J3" s="188"/>
      <c r="K3" s="188"/>
      <c r="L3" s="188"/>
      <c r="M3" s="188"/>
      <c r="N3" s="188"/>
      <c r="O3" s="188"/>
      <c r="P3" s="188"/>
      <c r="Q3" s="188"/>
      <c r="R3" s="192"/>
      <c r="S3" s="421"/>
    </row>
    <row r="4" spans="1:21">
      <c r="A4" s="424" t="s">
        <v>9</v>
      </c>
      <c r="B4" s="188" t="s">
        <v>1243</v>
      </c>
      <c r="C4" s="188"/>
      <c r="D4" s="345"/>
      <c r="E4" s="188"/>
      <c r="F4" s="188"/>
      <c r="G4" s="188"/>
      <c r="H4" s="188"/>
      <c r="I4" s="188"/>
      <c r="J4" s="188"/>
      <c r="K4" s="188"/>
      <c r="L4" s="188"/>
      <c r="M4" s="188"/>
      <c r="N4" s="188"/>
      <c r="O4" s="188"/>
      <c r="P4" s="188"/>
      <c r="Q4" s="188"/>
      <c r="R4" s="188"/>
      <c r="S4" s="188"/>
    </row>
    <row r="5" spans="1:21" ht="15.75" customHeight="1">
      <c r="A5" s="346" t="s">
        <v>11</v>
      </c>
      <c r="B5" s="347" t="s">
        <v>796</v>
      </c>
      <c r="C5" s="347"/>
      <c r="D5" s="188"/>
      <c r="E5" s="188"/>
      <c r="F5" s="188"/>
      <c r="G5" s="188"/>
      <c r="H5" s="188"/>
      <c r="I5" s="188"/>
      <c r="J5" s="188"/>
      <c r="K5" s="188"/>
      <c r="L5" s="188"/>
      <c r="M5" s="188"/>
      <c r="N5" s="188"/>
      <c r="O5" s="188"/>
      <c r="P5" s="188"/>
      <c r="Q5" s="188"/>
      <c r="R5" s="188"/>
      <c r="S5" s="188"/>
    </row>
    <row r="6" spans="1:21">
      <c r="A6" s="346" t="s">
        <v>13</v>
      </c>
      <c r="B6" s="188" t="s">
        <v>14</v>
      </c>
      <c r="C6" s="188"/>
      <c r="D6" s="188"/>
      <c r="E6" s="188"/>
      <c r="F6" s="188"/>
      <c r="G6" s="188"/>
      <c r="H6" s="188"/>
      <c r="I6" s="188"/>
      <c r="J6" s="188"/>
      <c r="K6" s="188"/>
      <c r="L6" s="188"/>
      <c r="M6" s="188"/>
      <c r="N6" s="188"/>
      <c r="O6" s="188"/>
      <c r="P6" s="188"/>
      <c r="Q6" s="188"/>
      <c r="R6" s="188"/>
      <c r="S6" s="188"/>
    </row>
    <row r="7" spans="1:21">
      <c r="A7" s="346" t="s">
        <v>15</v>
      </c>
      <c r="B7" s="358">
        <f>B12</f>
        <v>16</v>
      </c>
      <c r="C7" s="358"/>
      <c r="D7" s="188"/>
      <c r="E7" s="188"/>
      <c r="F7" s="188"/>
      <c r="G7" s="188"/>
      <c r="H7" s="188"/>
      <c r="I7" s="188"/>
      <c r="J7" s="188"/>
      <c r="K7" s="188"/>
      <c r="L7" s="188"/>
      <c r="M7" s="188"/>
      <c r="N7" s="188"/>
      <c r="O7" s="188"/>
      <c r="P7" s="188"/>
      <c r="Q7" s="188"/>
      <c r="R7" s="188"/>
      <c r="S7" s="188"/>
    </row>
    <row r="8" spans="1:21">
      <c r="A8" s="346" t="s">
        <v>16</v>
      </c>
      <c r="B8" s="188" t="s">
        <v>17</v>
      </c>
      <c r="C8" s="188"/>
      <c r="D8" s="188"/>
      <c r="E8" s="188"/>
      <c r="F8" s="188"/>
      <c r="G8" s="188"/>
      <c r="H8" s="188"/>
      <c r="I8" s="188"/>
      <c r="J8" s="188"/>
      <c r="K8" s="188"/>
      <c r="L8" s="188"/>
      <c r="M8" s="188"/>
      <c r="N8" s="188"/>
      <c r="O8" s="188"/>
      <c r="P8" s="188"/>
      <c r="Q8" s="188"/>
      <c r="R8" s="188"/>
      <c r="S8" s="188"/>
    </row>
    <row r="9" spans="1:21">
      <c r="A9" s="346" t="s">
        <v>18</v>
      </c>
      <c r="B9" s="188" t="str">
        <f>D16</f>
        <v>kilogram</v>
      </c>
      <c r="C9" s="188"/>
      <c r="D9" s="188"/>
      <c r="E9" s="188"/>
      <c r="F9" s="188"/>
      <c r="G9" s="188"/>
      <c r="H9" s="188"/>
      <c r="I9" s="188"/>
      <c r="J9" s="188"/>
      <c r="K9" s="188"/>
      <c r="L9" s="188"/>
      <c r="M9" s="188"/>
      <c r="N9" s="188"/>
      <c r="O9" s="188"/>
      <c r="P9" s="188"/>
      <c r="Q9" s="188"/>
      <c r="R9" s="188"/>
      <c r="S9" s="188"/>
    </row>
    <row r="10" spans="1:21">
      <c r="A10" s="343" t="s">
        <v>19</v>
      </c>
      <c r="B10" s="188"/>
      <c r="C10" s="188"/>
      <c r="D10" s="188"/>
      <c r="E10" s="188"/>
      <c r="F10" s="188"/>
      <c r="G10" s="188"/>
      <c r="H10" s="188"/>
      <c r="I10" s="188"/>
      <c r="J10" s="188"/>
      <c r="K10" s="188"/>
      <c r="L10" s="188"/>
      <c r="M10" s="188"/>
      <c r="N10" s="188"/>
      <c r="O10" s="188"/>
      <c r="P10" s="188"/>
      <c r="Q10" s="188"/>
      <c r="R10" s="188"/>
      <c r="S10" s="188"/>
    </row>
    <row r="11" spans="1:21">
      <c r="A11" s="344" t="s">
        <v>20</v>
      </c>
      <c r="B11" s="344" t="s">
        <v>21</v>
      </c>
      <c r="C11" s="382" t="s">
        <v>217</v>
      </c>
      <c r="D11" s="344" t="s">
        <v>18</v>
      </c>
      <c r="E11" s="344" t="s">
        <v>22</v>
      </c>
      <c r="F11" s="344" t="s">
        <v>7</v>
      </c>
      <c r="G11" s="344" t="s">
        <v>13</v>
      </c>
      <c r="H11" s="344" t="s">
        <v>16</v>
      </c>
      <c r="I11" s="344" t="s">
        <v>23</v>
      </c>
      <c r="J11" s="344" t="s">
        <v>24</v>
      </c>
      <c r="K11" s="344" t="s">
        <v>25</v>
      </c>
      <c r="L11" s="344" t="s">
        <v>26</v>
      </c>
      <c r="M11" s="344" t="s">
        <v>27</v>
      </c>
      <c r="N11" s="344" t="s">
        <v>28</v>
      </c>
      <c r="O11" s="344" t="s">
        <v>11</v>
      </c>
      <c r="P11" s="188"/>
      <c r="Q11" s="188"/>
      <c r="R11" s="188"/>
      <c r="S11" s="188"/>
      <c r="U11" s="115"/>
    </row>
    <row r="12" spans="1:21">
      <c r="A12" s="188" t="s">
        <v>1220</v>
      </c>
      <c r="B12" s="358">
        <f>B43</f>
        <v>16</v>
      </c>
      <c r="C12" s="188"/>
      <c r="D12" s="188" t="s">
        <v>37</v>
      </c>
      <c r="E12" s="408" t="s">
        <v>2</v>
      </c>
      <c r="F12" s="188" t="s">
        <v>29</v>
      </c>
      <c r="G12" s="188" t="s">
        <v>14</v>
      </c>
      <c r="H12" s="188" t="s">
        <v>30</v>
      </c>
      <c r="I12" s="188">
        <v>1</v>
      </c>
      <c r="J12" s="188">
        <f>B12</f>
        <v>16</v>
      </c>
      <c r="K12" s="188" t="s">
        <v>31</v>
      </c>
      <c r="L12" s="188" t="s">
        <v>31</v>
      </c>
      <c r="M12" s="188" t="s">
        <v>31</v>
      </c>
      <c r="N12" s="188" t="s">
        <v>31</v>
      </c>
      <c r="O12" s="188"/>
      <c r="P12" s="192"/>
      <c r="Q12" s="421"/>
      <c r="R12" s="188"/>
      <c r="S12" s="188"/>
    </row>
    <row r="13" spans="1:21">
      <c r="A13" s="188" t="s">
        <v>1244</v>
      </c>
      <c r="B13" s="188">
        <v>1</v>
      </c>
      <c r="C13" s="188"/>
      <c r="D13" s="188" t="s">
        <v>18</v>
      </c>
      <c r="E13" s="408" t="s">
        <v>2</v>
      </c>
      <c r="F13" s="188" t="s">
        <v>29</v>
      </c>
      <c r="G13" s="188" t="s">
        <v>14</v>
      </c>
      <c r="H13" s="188" t="s">
        <v>33</v>
      </c>
      <c r="I13" s="188">
        <v>1</v>
      </c>
      <c r="J13" s="188">
        <v>1</v>
      </c>
      <c r="K13" s="188" t="s">
        <v>31</v>
      </c>
      <c r="L13" s="188" t="s">
        <v>31</v>
      </c>
      <c r="M13" s="188" t="s">
        <v>31</v>
      </c>
      <c r="N13" s="188" t="s">
        <v>31</v>
      </c>
      <c r="O13" s="188"/>
      <c r="P13" s="188"/>
      <c r="Q13" s="188"/>
      <c r="R13" s="188"/>
      <c r="S13" s="188"/>
    </row>
    <row r="14" spans="1:21">
      <c r="A14" s="346" t="s">
        <v>269</v>
      </c>
      <c r="B14" s="350">
        <f>Q14</f>
        <v>0.25</v>
      </c>
      <c r="C14" s="350"/>
      <c r="D14" s="188" t="s">
        <v>39</v>
      </c>
      <c r="E14" s="188" t="s">
        <v>40</v>
      </c>
      <c r="F14" s="188" t="s">
        <v>29</v>
      </c>
      <c r="G14" s="37" t="s">
        <v>35</v>
      </c>
      <c r="H14" s="188" t="s">
        <v>33</v>
      </c>
      <c r="I14" s="188">
        <v>2</v>
      </c>
      <c r="J14" s="188">
        <f t="shared" ref="J14:J18" si="0">LN(B14)</f>
        <v>-1.3862943611198906</v>
      </c>
      <c r="K14" s="464">
        <v>9.6046863561492793E-2</v>
      </c>
      <c r="L14" s="188" t="s">
        <v>31</v>
      </c>
      <c r="M14" s="188" t="s">
        <v>31</v>
      </c>
      <c r="N14" s="188" t="s">
        <v>31</v>
      </c>
      <c r="O14" s="188"/>
      <c r="P14" s="401" t="s">
        <v>248</v>
      </c>
      <c r="Q14" s="414">
        <v>0.25</v>
      </c>
      <c r="R14" s="188"/>
      <c r="S14" s="188"/>
    </row>
    <row r="15" spans="1:21">
      <c r="A15" s="346" t="s">
        <v>269</v>
      </c>
      <c r="B15" s="350">
        <f>Q15</f>
        <v>0.5</v>
      </c>
      <c r="C15" s="350"/>
      <c r="D15" s="188" t="s">
        <v>39</v>
      </c>
      <c r="E15" s="188" t="s">
        <v>40</v>
      </c>
      <c r="F15" s="188" t="s">
        <v>29</v>
      </c>
      <c r="G15" s="37" t="s">
        <v>59</v>
      </c>
      <c r="H15" s="188" t="s">
        <v>33</v>
      </c>
      <c r="I15" s="188">
        <v>2</v>
      </c>
      <c r="J15" s="188">
        <f t="shared" si="0"/>
        <v>-0.69314718055994529</v>
      </c>
      <c r="K15" s="464">
        <v>9.6046863561492793E-2</v>
      </c>
      <c r="L15" s="188" t="s">
        <v>31</v>
      </c>
      <c r="M15" s="188" t="s">
        <v>31</v>
      </c>
      <c r="N15" s="188" t="s">
        <v>31</v>
      </c>
      <c r="O15" s="188"/>
      <c r="P15" s="401" t="s">
        <v>248</v>
      </c>
      <c r="Q15" s="414">
        <v>0.5</v>
      </c>
      <c r="R15" s="188"/>
      <c r="S15" s="188"/>
    </row>
    <row r="16" spans="1:21">
      <c r="A16" s="88" t="s">
        <v>901</v>
      </c>
      <c r="B16" s="188">
        <f>S16</f>
        <v>6.5000000000000002E-2</v>
      </c>
      <c r="C16" s="188"/>
      <c r="D16" s="188" t="s">
        <v>37</v>
      </c>
      <c r="E16" s="188" t="s">
        <v>40</v>
      </c>
      <c r="F16" s="188" t="s">
        <v>29</v>
      </c>
      <c r="G16" s="188" t="s">
        <v>35</v>
      </c>
      <c r="H16" s="188" t="s">
        <v>33</v>
      </c>
      <c r="I16" s="188">
        <v>2</v>
      </c>
      <c r="J16" s="188">
        <f t="shared" si="0"/>
        <v>-2.7333680090865</v>
      </c>
      <c r="K16" s="464">
        <v>9.6046863561492793E-2</v>
      </c>
      <c r="L16" s="188" t="s">
        <v>31</v>
      </c>
      <c r="M16" s="188" t="s">
        <v>31</v>
      </c>
      <c r="N16" s="188" t="s">
        <v>31</v>
      </c>
      <c r="O16" s="188"/>
      <c r="P16" s="401" t="s">
        <v>580</v>
      </c>
      <c r="Q16" s="414">
        <v>65</v>
      </c>
      <c r="R16" s="401" t="s">
        <v>241</v>
      </c>
      <c r="S16" s="414">
        <f>0.001*Q16</f>
        <v>6.5000000000000002E-2</v>
      </c>
    </row>
    <row r="17" spans="1:21">
      <c r="A17" s="88" t="s">
        <v>902</v>
      </c>
      <c r="B17" s="188">
        <f>Q17</f>
        <v>1.2</v>
      </c>
      <c r="C17" s="188"/>
      <c r="D17" s="188" t="s">
        <v>37</v>
      </c>
      <c r="E17" s="188" t="s">
        <v>40</v>
      </c>
      <c r="F17" s="188" t="s">
        <v>29</v>
      </c>
      <c r="G17" s="37" t="s">
        <v>74</v>
      </c>
      <c r="H17" s="188" t="s">
        <v>33</v>
      </c>
      <c r="I17" s="188">
        <v>2</v>
      </c>
      <c r="J17" s="188">
        <f t="shared" si="0"/>
        <v>0.18232155679395459</v>
      </c>
      <c r="K17" s="464">
        <v>9.6046863561492793E-2</v>
      </c>
      <c r="L17" s="188" t="s">
        <v>31</v>
      </c>
      <c r="M17" s="188" t="s">
        <v>31</v>
      </c>
      <c r="N17" s="188" t="s">
        <v>31</v>
      </c>
      <c r="O17" s="188"/>
      <c r="P17" s="401" t="s">
        <v>241</v>
      </c>
      <c r="Q17" s="414">
        <v>1.2</v>
      </c>
      <c r="R17" s="188"/>
      <c r="S17" s="188"/>
    </row>
    <row r="18" spans="1:21">
      <c r="A18" s="88" t="s">
        <v>738</v>
      </c>
      <c r="B18" s="188">
        <f>S18</f>
        <v>6.5000000000000002E-2</v>
      </c>
      <c r="C18" s="188"/>
      <c r="D18" s="188" t="s">
        <v>37</v>
      </c>
      <c r="E18" s="188" t="s">
        <v>40</v>
      </c>
      <c r="F18" s="188" t="s">
        <v>29</v>
      </c>
      <c r="G18" s="37" t="s">
        <v>74</v>
      </c>
      <c r="H18" s="188" t="s">
        <v>33</v>
      </c>
      <c r="I18" s="188">
        <v>2</v>
      </c>
      <c r="J18" s="188">
        <f t="shared" si="0"/>
        <v>-2.7333680090865</v>
      </c>
      <c r="K18" s="464">
        <v>9.6046863561492793E-2</v>
      </c>
      <c r="L18" s="188" t="s">
        <v>31</v>
      </c>
      <c r="M18" s="188" t="s">
        <v>31</v>
      </c>
      <c r="N18" s="188" t="s">
        <v>31</v>
      </c>
      <c r="O18" s="188"/>
      <c r="P18" s="401" t="s">
        <v>580</v>
      </c>
      <c r="Q18" s="142">
        <v>65</v>
      </c>
      <c r="R18" s="401" t="s">
        <v>241</v>
      </c>
      <c r="S18" s="414">
        <f>0.001*Q18</f>
        <v>6.5000000000000002E-2</v>
      </c>
    </row>
    <row r="19" spans="1:21" s="70" customFormat="1">
      <c r="A19" s="370" t="s">
        <v>5</v>
      </c>
      <c r="B19" s="371" t="str">
        <f>A29</f>
        <v>production of machined casing, mass scaled activities, bidirectional battery DCDC converter, PEMFC-bat, Long-Term</v>
      </c>
      <c r="C19" s="371"/>
      <c r="D19" s="353"/>
      <c r="E19" s="353"/>
      <c r="F19" s="353"/>
      <c r="G19" s="353"/>
      <c r="H19" s="353"/>
      <c r="I19" s="353"/>
      <c r="J19" s="353"/>
      <c r="K19" s="353"/>
      <c r="L19" s="353"/>
      <c r="M19" s="353"/>
      <c r="N19" s="353"/>
      <c r="O19" s="353"/>
      <c r="P19" s="353"/>
      <c r="Q19" s="353"/>
      <c r="R19" s="353"/>
      <c r="S19" s="353"/>
    </row>
    <row r="20" spans="1:21">
      <c r="A20" s="346" t="s">
        <v>7</v>
      </c>
      <c r="B20" s="188" t="s">
        <v>786</v>
      </c>
      <c r="C20" s="188"/>
      <c r="D20" s="345"/>
      <c r="E20" s="188"/>
      <c r="F20" s="188"/>
      <c r="G20" s="188"/>
      <c r="H20" s="188"/>
      <c r="I20" s="188"/>
      <c r="J20" s="188"/>
      <c r="K20" s="188"/>
      <c r="L20" s="188"/>
      <c r="M20" s="188"/>
      <c r="N20" s="188"/>
      <c r="O20" s="188"/>
      <c r="P20" s="188"/>
      <c r="Q20" s="188"/>
      <c r="R20" s="188"/>
      <c r="S20" s="188"/>
    </row>
    <row r="21" spans="1:21">
      <c r="A21" s="424" t="s">
        <v>9</v>
      </c>
      <c r="B21" s="188" t="s">
        <v>1245</v>
      </c>
      <c r="C21" s="188"/>
      <c r="D21" s="345"/>
      <c r="E21" s="188"/>
      <c r="F21" s="188"/>
      <c r="G21" s="188"/>
      <c r="H21" s="188"/>
      <c r="I21" s="188"/>
      <c r="J21" s="188"/>
      <c r="K21" s="188"/>
      <c r="L21" s="188"/>
      <c r="M21" s="188"/>
      <c r="N21" s="188"/>
      <c r="O21" s="188"/>
      <c r="P21" s="188"/>
      <c r="Q21" s="188"/>
      <c r="R21" s="188"/>
      <c r="S21" s="188"/>
    </row>
    <row r="22" spans="1:21" ht="15.75" customHeight="1">
      <c r="A22" s="346" t="s">
        <v>11</v>
      </c>
      <c r="B22" s="347" t="s">
        <v>796</v>
      </c>
      <c r="C22" s="347"/>
      <c r="D22" s="188"/>
      <c r="E22" s="188"/>
      <c r="F22" s="188"/>
      <c r="G22" s="188"/>
      <c r="H22" s="188"/>
      <c r="I22" s="188"/>
      <c r="J22" s="188"/>
      <c r="K22" s="188"/>
      <c r="L22" s="188"/>
      <c r="M22" s="188"/>
      <c r="N22" s="188"/>
      <c r="O22" s="188"/>
      <c r="P22" s="188"/>
      <c r="Q22" s="188"/>
      <c r="R22" s="188"/>
      <c r="S22" s="188"/>
    </row>
    <row r="23" spans="1:21">
      <c r="A23" s="346" t="s">
        <v>13</v>
      </c>
      <c r="B23" s="188" t="s">
        <v>14</v>
      </c>
      <c r="C23" s="188"/>
      <c r="D23" s="188"/>
      <c r="E23" s="188"/>
      <c r="F23" s="188"/>
      <c r="G23" s="188"/>
      <c r="H23" s="188"/>
      <c r="I23" s="188"/>
      <c r="J23" s="188"/>
      <c r="K23" s="188"/>
      <c r="L23" s="188"/>
      <c r="M23" s="188"/>
      <c r="N23" s="188"/>
      <c r="O23" s="188"/>
      <c r="P23" s="188"/>
      <c r="Q23" s="188"/>
      <c r="R23" s="188"/>
      <c r="S23" s="188"/>
    </row>
    <row r="24" spans="1:21">
      <c r="A24" s="346" t="s">
        <v>15</v>
      </c>
      <c r="B24" s="358">
        <v>1</v>
      </c>
      <c r="C24" s="358"/>
      <c r="D24" s="188"/>
      <c r="E24" s="188"/>
      <c r="F24" s="188"/>
      <c r="G24" s="188"/>
      <c r="H24" s="188"/>
      <c r="I24" s="188"/>
      <c r="J24" s="188"/>
      <c r="K24" s="188"/>
      <c r="L24" s="188"/>
      <c r="M24" s="188"/>
      <c r="N24" s="188"/>
      <c r="O24" s="188"/>
      <c r="P24" s="188"/>
      <c r="Q24" s="188"/>
      <c r="R24" s="188"/>
      <c r="S24" s="188"/>
    </row>
    <row r="25" spans="1:21">
      <c r="A25" s="346" t="s">
        <v>16</v>
      </c>
      <c r="B25" s="188" t="s">
        <v>17</v>
      </c>
      <c r="C25" s="188"/>
      <c r="D25" s="188"/>
      <c r="E25" s="188"/>
      <c r="F25" s="188"/>
      <c r="G25" s="188"/>
      <c r="H25" s="188"/>
      <c r="I25" s="188"/>
      <c r="J25" s="188"/>
      <c r="K25" s="188"/>
      <c r="L25" s="188"/>
      <c r="M25" s="188"/>
      <c r="N25" s="188"/>
      <c r="O25" s="188"/>
      <c r="P25" s="188"/>
      <c r="Q25" s="188"/>
      <c r="R25" s="188"/>
      <c r="S25" s="188"/>
    </row>
    <row r="26" spans="1:21">
      <c r="A26" s="346" t="s">
        <v>18</v>
      </c>
      <c r="B26" s="188" t="s">
        <v>18</v>
      </c>
      <c r="C26" s="188"/>
      <c r="D26" s="188"/>
      <c r="E26" s="188"/>
      <c r="F26" s="188"/>
      <c r="G26" s="188"/>
      <c r="H26" s="188"/>
      <c r="I26" s="188"/>
      <c r="J26" s="188"/>
      <c r="K26" s="188"/>
      <c r="L26" s="188"/>
      <c r="M26" s="188"/>
      <c r="N26" s="188"/>
      <c r="O26" s="188"/>
      <c r="P26" s="188"/>
      <c r="Q26" s="188"/>
      <c r="R26" s="188"/>
      <c r="S26" s="188"/>
    </row>
    <row r="27" spans="1:21">
      <c r="A27" s="343" t="s">
        <v>19</v>
      </c>
      <c r="B27" s="188"/>
      <c r="C27" s="188"/>
      <c r="D27" s="188"/>
      <c r="E27" s="188"/>
      <c r="F27" s="188"/>
      <c r="G27" s="188"/>
      <c r="H27" s="188"/>
      <c r="I27" s="188"/>
      <c r="J27" s="188"/>
      <c r="K27" s="188"/>
      <c r="L27" s="188"/>
      <c r="M27" s="188"/>
      <c r="N27" s="188"/>
      <c r="O27" s="188"/>
      <c r="P27" s="188"/>
      <c r="Q27" s="188"/>
      <c r="R27" s="188"/>
      <c r="S27" s="188"/>
    </row>
    <row r="28" spans="1:21">
      <c r="A28" s="344" t="s">
        <v>20</v>
      </c>
      <c r="B28" s="344" t="s">
        <v>21</v>
      </c>
      <c r="C28" s="382" t="s">
        <v>217</v>
      </c>
      <c r="D28" s="344" t="s">
        <v>18</v>
      </c>
      <c r="E28" s="344" t="s">
        <v>22</v>
      </c>
      <c r="F28" s="344" t="s">
        <v>7</v>
      </c>
      <c r="G28" s="344" t="s">
        <v>13</v>
      </c>
      <c r="H28" s="344" t="s">
        <v>16</v>
      </c>
      <c r="I28" s="344" t="s">
        <v>23</v>
      </c>
      <c r="J28" s="344" t="s">
        <v>24</v>
      </c>
      <c r="K28" s="344" t="s">
        <v>25</v>
      </c>
      <c r="L28" s="344" t="s">
        <v>26</v>
      </c>
      <c r="M28" s="344" t="s">
        <v>27</v>
      </c>
      <c r="N28" s="344" t="s">
        <v>28</v>
      </c>
      <c r="O28" s="344" t="s">
        <v>11</v>
      </c>
      <c r="P28" s="188"/>
      <c r="Q28" s="188"/>
      <c r="R28" s="188"/>
      <c r="S28" s="188"/>
      <c r="U28" s="115"/>
    </row>
    <row r="29" spans="1:21">
      <c r="A29" s="188" t="s">
        <v>1244</v>
      </c>
      <c r="B29" s="188">
        <v>1</v>
      </c>
      <c r="C29" s="188"/>
      <c r="D29" s="188" t="s">
        <v>18</v>
      </c>
      <c r="E29" s="408" t="s">
        <v>2</v>
      </c>
      <c r="F29" s="188" t="s">
        <v>29</v>
      </c>
      <c r="G29" s="188" t="s">
        <v>14</v>
      </c>
      <c r="H29" s="188" t="s">
        <v>30</v>
      </c>
      <c r="I29" s="188">
        <v>1</v>
      </c>
      <c r="J29" s="188">
        <v>1</v>
      </c>
      <c r="K29" s="188" t="s">
        <v>31</v>
      </c>
      <c r="L29" s="188" t="s">
        <v>31</v>
      </c>
      <c r="M29" s="188" t="s">
        <v>31</v>
      </c>
      <c r="N29" s="188" t="s">
        <v>31</v>
      </c>
      <c r="O29" s="188"/>
      <c r="P29" s="188"/>
      <c r="Q29" s="188"/>
      <c r="R29" s="188"/>
      <c r="S29" s="188"/>
    </row>
    <row r="30" spans="1:21">
      <c r="A30" s="188" t="s">
        <v>1246</v>
      </c>
      <c r="B30" s="188">
        <v>16</v>
      </c>
      <c r="C30" s="188"/>
      <c r="D30" s="188" t="s">
        <v>37</v>
      </c>
      <c r="E30" s="408" t="s">
        <v>2</v>
      </c>
      <c r="F30" s="188" t="s">
        <v>29</v>
      </c>
      <c r="G30" s="188" t="s">
        <v>14</v>
      </c>
      <c r="H30" s="188" t="s">
        <v>33</v>
      </c>
      <c r="I30" s="188">
        <v>2</v>
      </c>
      <c r="J30" s="188">
        <f>LN(B30)</f>
        <v>2.7725887222397811</v>
      </c>
      <c r="K30" s="188">
        <v>0.10307764064044142</v>
      </c>
      <c r="L30" s="188" t="s">
        <v>31</v>
      </c>
      <c r="M30" s="188" t="s">
        <v>31</v>
      </c>
      <c r="N30" s="188" t="s">
        <v>31</v>
      </c>
      <c r="O30" s="188"/>
      <c r="P30" s="188"/>
      <c r="Q30" s="462">
        <v>16</v>
      </c>
      <c r="R30" s="188"/>
      <c r="S30" s="188"/>
    </row>
    <row r="31" spans="1:21">
      <c r="A31" s="346" t="s">
        <v>269</v>
      </c>
      <c r="B31" s="350">
        <f>Q31</f>
        <v>0.91</v>
      </c>
      <c r="C31" s="350"/>
      <c r="D31" s="188" t="s">
        <v>39</v>
      </c>
      <c r="E31" s="188" t="s">
        <v>40</v>
      </c>
      <c r="F31" s="188" t="s">
        <v>29</v>
      </c>
      <c r="G31" s="37" t="s">
        <v>59</v>
      </c>
      <c r="H31" s="188" t="s">
        <v>33</v>
      </c>
      <c r="I31" s="188">
        <v>2</v>
      </c>
      <c r="J31" s="188">
        <f t="shared" ref="J31:J37" si="1">LN(B31)</f>
        <v>-9.431067947124129E-2</v>
      </c>
      <c r="K31" s="188">
        <v>9.6046863561492793E-2</v>
      </c>
      <c r="L31" s="188" t="s">
        <v>31</v>
      </c>
      <c r="M31" s="188" t="s">
        <v>31</v>
      </c>
      <c r="N31" s="188" t="s">
        <v>31</v>
      </c>
      <c r="O31" s="188"/>
      <c r="P31" s="401" t="s">
        <v>248</v>
      </c>
      <c r="Q31" s="114">
        <v>0.91</v>
      </c>
      <c r="R31" s="188"/>
      <c r="S31" s="188"/>
    </row>
    <row r="32" spans="1:21">
      <c r="A32" s="88" t="s">
        <v>901</v>
      </c>
      <c r="B32" s="188">
        <f>S32</f>
        <v>0.21299999999999999</v>
      </c>
      <c r="C32" s="188"/>
      <c r="D32" s="188" t="s">
        <v>37</v>
      </c>
      <c r="E32" s="188" t="s">
        <v>40</v>
      </c>
      <c r="F32" s="188" t="s">
        <v>29</v>
      </c>
      <c r="G32" s="188" t="s">
        <v>35</v>
      </c>
      <c r="H32" s="188" t="s">
        <v>33</v>
      </c>
      <c r="I32" s="188">
        <v>2</v>
      </c>
      <c r="J32" s="188">
        <f t="shared" si="1"/>
        <v>-1.546463113272712</v>
      </c>
      <c r="K32" s="188">
        <v>9.6046863561492793E-2</v>
      </c>
      <c r="L32" s="188" t="s">
        <v>31</v>
      </c>
      <c r="M32" s="188" t="s">
        <v>31</v>
      </c>
      <c r="N32" s="188" t="s">
        <v>31</v>
      </c>
      <c r="O32" s="188"/>
      <c r="P32" s="401" t="s">
        <v>580</v>
      </c>
      <c r="Q32" s="114">
        <v>213</v>
      </c>
      <c r="R32" s="401" t="s">
        <v>241</v>
      </c>
      <c r="S32" s="414">
        <f>0.001*Q32</f>
        <v>0.21299999999999999</v>
      </c>
    </row>
    <row r="33" spans="1:21">
      <c r="A33" s="88" t="s">
        <v>902</v>
      </c>
      <c r="B33" s="188">
        <f>Q33</f>
        <v>4</v>
      </c>
      <c r="C33" s="188"/>
      <c r="D33" s="188" t="s">
        <v>37</v>
      </c>
      <c r="E33" s="188" t="s">
        <v>40</v>
      </c>
      <c r="F33" s="188" t="s">
        <v>29</v>
      </c>
      <c r="G33" s="37" t="s">
        <v>74</v>
      </c>
      <c r="H33" s="188" t="s">
        <v>33</v>
      </c>
      <c r="I33" s="188">
        <v>2</v>
      </c>
      <c r="J33" s="188">
        <f t="shared" si="1"/>
        <v>1.3862943611198906</v>
      </c>
      <c r="K33" s="188">
        <v>9.6046863561492793E-2</v>
      </c>
      <c r="L33" s="188" t="s">
        <v>31</v>
      </c>
      <c r="M33" s="188" t="s">
        <v>31</v>
      </c>
      <c r="N33" s="188" t="s">
        <v>31</v>
      </c>
      <c r="O33" s="188"/>
      <c r="P33" s="401" t="s">
        <v>241</v>
      </c>
      <c r="Q33" s="114">
        <v>4</v>
      </c>
      <c r="R33" s="188"/>
      <c r="S33" s="188"/>
    </row>
    <row r="34" spans="1:21">
      <c r="A34" s="438" t="s">
        <v>265</v>
      </c>
      <c r="B34" s="188">
        <f>S35</f>
        <v>0.80600000000000005</v>
      </c>
      <c r="C34" s="192" t="s">
        <v>266</v>
      </c>
      <c r="D34" s="188" t="s">
        <v>37</v>
      </c>
      <c r="E34" s="188" t="s">
        <v>40</v>
      </c>
      <c r="F34" s="188" t="s">
        <v>29</v>
      </c>
      <c r="G34" s="37" t="s">
        <v>35</v>
      </c>
      <c r="H34" s="188" t="s">
        <v>33</v>
      </c>
      <c r="I34" s="188">
        <v>2</v>
      </c>
      <c r="J34" s="188">
        <f t="shared" si="1"/>
        <v>-0.21567153647550871</v>
      </c>
      <c r="K34" s="188">
        <v>9.6046863561492793E-2</v>
      </c>
      <c r="L34" s="188" t="s">
        <v>31</v>
      </c>
      <c r="M34" s="188" t="s">
        <v>31</v>
      </c>
      <c r="N34" s="188" t="s">
        <v>31</v>
      </c>
      <c r="O34" s="188"/>
      <c r="P34" s="401"/>
      <c r="Q34" s="414"/>
      <c r="R34" s="188"/>
      <c r="S34" s="188"/>
    </row>
    <row r="35" spans="1:21">
      <c r="A35" s="192" t="s">
        <v>263</v>
      </c>
      <c r="B35" s="188">
        <f>S35</f>
        <v>0.80600000000000005</v>
      </c>
      <c r="C35" s="188"/>
      <c r="D35" s="188" t="s">
        <v>37</v>
      </c>
      <c r="E35" s="188" t="s">
        <v>40</v>
      </c>
      <c r="F35" s="188" t="s">
        <v>29</v>
      </c>
      <c r="G35" s="188" t="s">
        <v>35</v>
      </c>
      <c r="H35" s="188" t="s">
        <v>33</v>
      </c>
      <c r="I35" s="188">
        <v>2</v>
      </c>
      <c r="J35" s="188">
        <f t="shared" si="1"/>
        <v>-0.21567153647550871</v>
      </c>
      <c r="K35" s="188">
        <v>9.6046863561492793E-2</v>
      </c>
      <c r="L35" s="188" t="s">
        <v>31</v>
      </c>
      <c r="M35" s="188" t="s">
        <v>31</v>
      </c>
      <c r="N35" s="188" t="s">
        <v>31</v>
      </c>
      <c r="O35" s="188"/>
      <c r="P35" s="418" t="s">
        <v>580</v>
      </c>
      <c r="Q35" s="119">
        <v>806</v>
      </c>
      <c r="R35" s="401" t="s">
        <v>241</v>
      </c>
      <c r="S35" s="414">
        <f>0.001*Q35</f>
        <v>0.80600000000000005</v>
      </c>
    </row>
    <row r="36" spans="1:21">
      <c r="A36" s="88" t="s">
        <v>905</v>
      </c>
      <c r="B36" s="188">
        <f>S35</f>
        <v>0.80600000000000005</v>
      </c>
      <c r="C36" s="188"/>
      <c r="D36" s="188" t="s">
        <v>37</v>
      </c>
      <c r="E36" s="188" t="s">
        <v>40</v>
      </c>
      <c r="F36" s="188" t="s">
        <v>29</v>
      </c>
      <c r="G36" s="188" t="s">
        <v>59</v>
      </c>
      <c r="H36" s="188" t="s">
        <v>136</v>
      </c>
      <c r="I36" s="188">
        <v>2</v>
      </c>
      <c r="J36" s="188">
        <f t="shared" si="1"/>
        <v>-0.21567153647550871</v>
      </c>
      <c r="K36" s="188">
        <v>9.6046863561492793E-2</v>
      </c>
      <c r="L36" s="188" t="s">
        <v>31</v>
      </c>
      <c r="M36" s="188" t="s">
        <v>31</v>
      </c>
      <c r="N36" s="188" t="s">
        <v>31</v>
      </c>
      <c r="O36" s="188"/>
      <c r="P36" s="418" t="s">
        <v>580</v>
      </c>
      <c r="Q36" s="119">
        <v>806</v>
      </c>
      <c r="R36" s="401" t="s">
        <v>241</v>
      </c>
      <c r="S36" s="414">
        <f>0.001*Q37</f>
        <v>0.21299999999999999</v>
      </c>
    </row>
    <row r="37" spans="1:21">
      <c r="A37" s="88" t="s">
        <v>738</v>
      </c>
      <c r="B37" s="188">
        <f>S37</f>
        <v>0.21299999999999999</v>
      </c>
      <c r="C37" s="188"/>
      <c r="D37" s="188" t="s">
        <v>37</v>
      </c>
      <c r="E37" s="188" t="s">
        <v>40</v>
      </c>
      <c r="F37" s="188" t="s">
        <v>29</v>
      </c>
      <c r="G37" s="37" t="s">
        <v>74</v>
      </c>
      <c r="H37" s="188" t="s">
        <v>33</v>
      </c>
      <c r="I37" s="188">
        <v>2</v>
      </c>
      <c r="J37" s="188">
        <f t="shared" si="1"/>
        <v>-1.546463113272712</v>
      </c>
      <c r="K37" s="188">
        <v>9.6046863561492793E-2</v>
      </c>
      <c r="L37" s="188" t="s">
        <v>31</v>
      </c>
      <c r="M37" s="188" t="s">
        <v>31</v>
      </c>
      <c r="N37" s="188" t="s">
        <v>31</v>
      </c>
      <c r="O37" s="188"/>
      <c r="P37" s="418" t="s">
        <v>580</v>
      </c>
      <c r="Q37" s="419">
        <v>213</v>
      </c>
      <c r="R37" s="401" t="s">
        <v>241</v>
      </c>
      <c r="S37" s="414">
        <f>Q37*0.001</f>
        <v>0.21299999999999999</v>
      </c>
    </row>
    <row r="38" spans="1:21" s="70" customFormat="1">
      <c r="A38" s="370" t="s">
        <v>5</v>
      </c>
      <c r="B38" s="371" t="s">
        <v>1246</v>
      </c>
      <c r="C38" s="371"/>
      <c r="D38" s="353"/>
      <c r="E38" s="353"/>
      <c r="F38" s="353"/>
      <c r="G38" s="353"/>
      <c r="H38" s="353"/>
      <c r="I38" s="353"/>
      <c r="J38" s="353"/>
      <c r="K38" s="353"/>
      <c r="L38" s="353"/>
      <c r="M38" s="353"/>
      <c r="N38" s="353"/>
      <c r="O38" s="353"/>
      <c r="P38" s="353"/>
      <c r="Q38" s="353"/>
      <c r="R38" s="353"/>
      <c r="S38" s="353"/>
    </row>
    <row r="39" spans="1:21">
      <c r="A39" s="346" t="s">
        <v>7</v>
      </c>
      <c r="B39" s="188" t="s">
        <v>786</v>
      </c>
      <c r="C39" s="188"/>
      <c r="D39" s="345"/>
      <c r="E39" s="188"/>
      <c r="F39" s="188"/>
      <c r="G39" s="188"/>
      <c r="H39" s="188"/>
      <c r="I39" s="188"/>
      <c r="J39" s="188"/>
      <c r="K39" s="188"/>
      <c r="L39" s="188"/>
      <c r="M39" s="188"/>
      <c r="N39" s="188"/>
      <c r="O39" s="188"/>
      <c r="P39" s="188"/>
      <c r="Q39" s="188"/>
      <c r="R39" s="188"/>
      <c r="S39" s="188"/>
    </row>
    <row r="40" spans="1:21">
      <c r="A40" s="424" t="s">
        <v>9</v>
      </c>
      <c r="B40" s="188" t="s">
        <v>1247</v>
      </c>
      <c r="C40" s="188"/>
      <c r="D40" s="345"/>
      <c r="E40" s="188"/>
      <c r="F40" s="188"/>
      <c r="G40" s="188"/>
      <c r="H40" s="188"/>
      <c r="I40" s="188"/>
      <c r="J40" s="188"/>
      <c r="K40" s="188"/>
      <c r="L40" s="188"/>
      <c r="M40" s="188"/>
      <c r="N40" s="188"/>
      <c r="O40" s="188"/>
      <c r="P40" s="188"/>
      <c r="Q40" s="188"/>
      <c r="R40" s="188"/>
      <c r="S40" s="188"/>
    </row>
    <row r="41" spans="1:21" ht="15.75" customHeight="1">
      <c r="A41" s="346" t="s">
        <v>11</v>
      </c>
      <c r="B41" s="347" t="s">
        <v>796</v>
      </c>
      <c r="C41" s="347"/>
      <c r="D41" s="188"/>
      <c r="E41" s="188"/>
      <c r="F41" s="188"/>
      <c r="G41" s="188"/>
      <c r="H41" s="188"/>
      <c r="I41" s="188"/>
      <c r="J41" s="188"/>
      <c r="K41" s="188"/>
      <c r="L41" s="188"/>
      <c r="M41" s="188"/>
      <c r="N41" s="188"/>
      <c r="O41" s="188"/>
      <c r="P41" s="188"/>
      <c r="Q41" s="188"/>
      <c r="R41" s="188"/>
      <c r="S41" s="188"/>
    </row>
    <row r="42" spans="1:21">
      <c r="A42" s="346" t="s">
        <v>13</v>
      </c>
      <c r="B42" s="188" t="s">
        <v>14</v>
      </c>
      <c r="C42" s="188"/>
      <c r="D42" s="188"/>
      <c r="E42" s="188"/>
      <c r="F42" s="188"/>
      <c r="G42" s="188"/>
      <c r="H42" s="188"/>
      <c r="I42" s="188"/>
      <c r="J42" s="188"/>
      <c r="K42" s="188"/>
      <c r="L42" s="188"/>
      <c r="M42" s="188"/>
      <c r="N42" s="188"/>
      <c r="O42" s="188"/>
      <c r="P42" s="188"/>
      <c r="Q42" s="188"/>
      <c r="R42" s="188"/>
      <c r="S42" s="188"/>
    </row>
    <row r="43" spans="1:21">
      <c r="A43" s="346" t="s">
        <v>15</v>
      </c>
      <c r="B43" s="358">
        <f>B48</f>
        <v>16</v>
      </c>
      <c r="C43" s="358"/>
      <c r="D43" s="188"/>
      <c r="E43" s="188"/>
      <c r="F43" s="188"/>
      <c r="G43" s="188"/>
      <c r="H43" s="188"/>
      <c r="I43" s="188"/>
      <c r="J43" s="188"/>
      <c r="K43" s="188"/>
      <c r="L43" s="188"/>
      <c r="M43" s="188"/>
      <c r="N43" s="188"/>
      <c r="O43" s="188"/>
      <c r="P43" s="188"/>
      <c r="Q43" s="188"/>
      <c r="R43" s="188"/>
      <c r="S43" s="188"/>
    </row>
    <row r="44" spans="1:21">
      <c r="A44" s="346" t="s">
        <v>16</v>
      </c>
      <c r="B44" s="188" t="s">
        <v>17</v>
      </c>
      <c r="C44" s="188"/>
      <c r="D44" s="188"/>
      <c r="E44" s="188"/>
      <c r="F44" s="188"/>
      <c r="G44" s="188"/>
      <c r="H44" s="188"/>
      <c r="I44" s="188"/>
      <c r="J44" s="188"/>
      <c r="K44" s="188"/>
      <c r="L44" s="188"/>
      <c r="M44" s="188"/>
      <c r="N44" s="188"/>
      <c r="O44" s="188"/>
      <c r="P44" s="188"/>
      <c r="Q44" s="188"/>
      <c r="R44" s="188"/>
      <c r="S44" s="188"/>
    </row>
    <row r="45" spans="1:21">
      <c r="A45" s="346" t="s">
        <v>18</v>
      </c>
      <c r="B45" s="188" t="s">
        <v>37</v>
      </c>
      <c r="C45" s="188"/>
      <c r="D45" s="188"/>
      <c r="E45" s="188"/>
      <c r="F45" s="188"/>
      <c r="G45" s="188"/>
      <c r="H45" s="188"/>
      <c r="I45" s="188"/>
      <c r="J45" s="188"/>
      <c r="K45" s="188"/>
      <c r="L45" s="188"/>
      <c r="M45" s="188"/>
      <c r="N45" s="188"/>
      <c r="O45" s="188"/>
      <c r="P45" s="188"/>
      <c r="Q45" s="188"/>
      <c r="R45" s="188"/>
      <c r="S45" s="188"/>
    </row>
    <row r="46" spans="1:21">
      <c r="A46" s="343" t="s">
        <v>19</v>
      </c>
      <c r="B46" s="188"/>
      <c r="C46" s="188"/>
      <c r="D46" s="188"/>
      <c r="E46" s="188"/>
      <c r="F46" s="188"/>
      <c r="G46" s="188"/>
      <c r="H46" s="188"/>
      <c r="I46" s="188"/>
      <c r="J46" s="188"/>
      <c r="K46" s="188"/>
      <c r="L46" s="188"/>
      <c r="M46" s="188"/>
      <c r="N46" s="188"/>
      <c r="O46" s="188"/>
      <c r="P46" s="188"/>
      <c r="Q46" s="188"/>
      <c r="R46" s="188"/>
      <c r="S46" s="188"/>
    </row>
    <row r="47" spans="1:21">
      <c r="A47" s="344" t="s">
        <v>20</v>
      </c>
      <c r="B47" s="344" t="s">
        <v>21</v>
      </c>
      <c r="C47" s="382" t="s">
        <v>217</v>
      </c>
      <c r="D47" s="344" t="s">
        <v>18</v>
      </c>
      <c r="E47" s="344" t="s">
        <v>22</v>
      </c>
      <c r="F47" s="344" t="s">
        <v>7</v>
      </c>
      <c r="G47" s="344" t="s">
        <v>13</v>
      </c>
      <c r="H47" s="344" t="s">
        <v>16</v>
      </c>
      <c r="I47" s="344" t="s">
        <v>23</v>
      </c>
      <c r="J47" s="344" t="s">
        <v>24</v>
      </c>
      <c r="K47" s="344" t="s">
        <v>25</v>
      </c>
      <c r="L47" s="344" t="s">
        <v>26</v>
      </c>
      <c r="M47" s="344" t="s">
        <v>27</v>
      </c>
      <c r="N47" s="344" t="s">
        <v>28</v>
      </c>
      <c r="O47" s="344" t="s">
        <v>11</v>
      </c>
      <c r="P47" s="188"/>
      <c r="Q47" s="188"/>
      <c r="R47" s="188"/>
      <c r="S47" s="188"/>
      <c r="U47" s="115"/>
    </row>
    <row r="48" spans="1:21">
      <c r="A48" s="188" t="s">
        <v>1246</v>
      </c>
      <c r="B48" s="188">
        <f>Q48</f>
        <v>16</v>
      </c>
      <c r="C48" s="188"/>
      <c r="D48" s="188" t="s">
        <v>37</v>
      </c>
      <c r="E48" s="408" t="s">
        <v>2</v>
      </c>
      <c r="F48" s="188" t="s">
        <v>29</v>
      </c>
      <c r="G48" s="188" t="s">
        <v>14</v>
      </c>
      <c r="H48" s="188" t="s">
        <v>30</v>
      </c>
      <c r="I48" s="188">
        <v>2</v>
      </c>
      <c r="J48" s="188">
        <f>LN(B48)</f>
        <v>2.7725887222397811</v>
      </c>
      <c r="K48" s="188">
        <v>0.10307764064044142</v>
      </c>
      <c r="L48" s="188" t="s">
        <v>31</v>
      </c>
      <c r="M48" s="188" t="s">
        <v>31</v>
      </c>
      <c r="N48" s="188" t="s">
        <v>31</v>
      </c>
      <c r="O48" s="188"/>
      <c r="P48" s="188"/>
      <c r="Q48" s="465">
        <v>16</v>
      </c>
      <c r="R48" s="188"/>
      <c r="S48" s="188"/>
    </row>
    <row r="49" spans="1:25">
      <c r="A49" s="88" t="s">
        <v>905</v>
      </c>
      <c r="B49" s="188">
        <f>Q49</f>
        <v>17</v>
      </c>
      <c r="C49" s="188"/>
      <c r="D49" s="188" t="s">
        <v>37</v>
      </c>
      <c r="E49" s="188" t="s">
        <v>40</v>
      </c>
      <c r="F49" s="188" t="s">
        <v>29</v>
      </c>
      <c r="G49" s="188" t="s">
        <v>59</v>
      </c>
      <c r="H49" s="188" t="s">
        <v>33</v>
      </c>
      <c r="I49" s="188">
        <v>2</v>
      </c>
      <c r="J49" s="188">
        <f t="shared" ref="J49:J57" si="2">LN(B49)</f>
        <v>2.8332133440562162</v>
      </c>
      <c r="K49" s="188">
        <v>4.9999999999998969E-3</v>
      </c>
      <c r="L49" s="188" t="s">
        <v>31</v>
      </c>
      <c r="M49" s="188" t="s">
        <v>31</v>
      </c>
      <c r="N49" s="188" t="s">
        <v>31</v>
      </c>
      <c r="O49" s="188"/>
      <c r="P49" s="401" t="s">
        <v>241</v>
      </c>
      <c r="Q49" s="114">
        <v>17</v>
      </c>
      <c r="R49" s="188"/>
      <c r="S49" s="188"/>
    </row>
    <row r="50" spans="1:25">
      <c r="A50" s="27" t="s">
        <v>69</v>
      </c>
      <c r="B50" s="188">
        <f>S50</f>
        <v>4.5169712793733687</v>
      </c>
      <c r="C50" s="188"/>
      <c r="D50" s="188" t="s">
        <v>42</v>
      </c>
      <c r="E50" s="188" t="s">
        <v>40</v>
      </c>
      <c r="F50" s="188" t="s">
        <v>29</v>
      </c>
      <c r="G50" s="188" t="s">
        <v>249</v>
      </c>
      <c r="H50" s="188" t="s">
        <v>33</v>
      </c>
      <c r="I50" s="188">
        <v>2</v>
      </c>
      <c r="J50" s="188">
        <f t="shared" si="2"/>
        <v>1.5078416983111789</v>
      </c>
      <c r="K50" s="188">
        <v>4.9999999999998969E-3</v>
      </c>
      <c r="L50" s="188" t="s">
        <v>31</v>
      </c>
      <c r="M50" s="188" t="s">
        <v>31</v>
      </c>
      <c r="N50" s="188" t="s">
        <v>31</v>
      </c>
      <c r="O50" s="188"/>
      <c r="P50" s="401" t="s">
        <v>250</v>
      </c>
      <c r="Q50" s="114">
        <v>173</v>
      </c>
      <c r="R50" s="188" t="s">
        <v>251</v>
      </c>
      <c r="S50" s="188">
        <f>Q50/38.3</f>
        <v>4.5169712793733687</v>
      </c>
      <c r="T50" s="148"/>
      <c r="U50" s="149"/>
      <c r="V50" s="149"/>
      <c r="W50" s="149"/>
      <c r="X50" s="149"/>
      <c r="Y50" s="149"/>
    </row>
    <row r="51" spans="1:25">
      <c r="A51" s="346" t="s">
        <v>269</v>
      </c>
      <c r="B51" s="350">
        <f>Q51</f>
        <v>41.6</v>
      </c>
      <c r="C51" s="350"/>
      <c r="D51" s="188" t="s">
        <v>39</v>
      </c>
      <c r="E51" s="188" t="s">
        <v>40</v>
      </c>
      <c r="F51" s="188" t="s">
        <v>29</v>
      </c>
      <c r="G51" s="37" t="s">
        <v>59</v>
      </c>
      <c r="H51" s="188" t="s">
        <v>33</v>
      </c>
      <c r="I51" s="188">
        <v>2</v>
      </c>
      <c r="J51" s="188">
        <f t="shared" si="2"/>
        <v>3.7281001672672178</v>
      </c>
      <c r="K51" s="188">
        <v>4.9999999999998969E-3</v>
      </c>
      <c r="L51" s="188" t="s">
        <v>31</v>
      </c>
      <c r="M51" s="188" t="s">
        <v>31</v>
      </c>
      <c r="N51" s="188" t="s">
        <v>31</v>
      </c>
      <c r="O51" s="188"/>
      <c r="P51" s="401" t="s">
        <v>248</v>
      </c>
      <c r="Q51" s="114">
        <v>41.6</v>
      </c>
      <c r="R51" s="188"/>
      <c r="S51" s="188"/>
    </row>
    <row r="52" spans="1:25">
      <c r="A52" s="88" t="s">
        <v>907</v>
      </c>
      <c r="B52" s="188">
        <f>S52</f>
        <v>0.32</v>
      </c>
      <c r="C52" s="188"/>
      <c r="D52" s="188" t="s">
        <v>37</v>
      </c>
      <c r="E52" s="188" t="s">
        <v>40</v>
      </c>
      <c r="F52" s="188" t="s">
        <v>29</v>
      </c>
      <c r="G52" s="188" t="s">
        <v>35</v>
      </c>
      <c r="H52" s="188" t="s">
        <v>33</v>
      </c>
      <c r="I52" s="188">
        <v>2</v>
      </c>
      <c r="J52" s="188">
        <f t="shared" si="2"/>
        <v>-1.1394342831883648</v>
      </c>
      <c r="K52" s="188">
        <v>0.10049875621120885</v>
      </c>
      <c r="L52" s="188" t="s">
        <v>31</v>
      </c>
      <c r="M52" s="188" t="s">
        <v>31</v>
      </c>
      <c r="N52" s="188" t="s">
        <v>31</v>
      </c>
      <c r="O52" s="188"/>
      <c r="P52" s="401" t="s">
        <v>580</v>
      </c>
      <c r="Q52" s="114">
        <v>320</v>
      </c>
      <c r="R52" s="401" t="s">
        <v>241</v>
      </c>
      <c r="S52" s="414">
        <f t="shared" ref="S52:S54" si="3">0.001*Q52</f>
        <v>0.32</v>
      </c>
    </row>
    <row r="53" spans="1:25">
      <c r="A53" s="88" t="s">
        <v>908</v>
      </c>
      <c r="B53" s="188">
        <f>S53</f>
        <v>6.4000000000000003E-3</v>
      </c>
      <c r="C53" s="188"/>
      <c r="D53" s="188" t="s">
        <v>37</v>
      </c>
      <c r="E53" s="188" t="s">
        <v>43</v>
      </c>
      <c r="F53" s="188" t="s">
        <v>44</v>
      </c>
      <c r="G53" s="188" t="s">
        <v>29</v>
      </c>
      <c r="H53" s="188" t="s">
        <v>45</v>
      </c>
      <c r="I53" s="188">
        <v>2</v>
      </c>
      <c r="J53" s="188">
        <f t="shared" si="2"/>
        <v>-5.0514572886165112</v>
      </c>
      <c r="K53" s="188">
        <v>4.9999999999998969E-3</v>
      </c>
      <c r="L53" s="188" t="s">
        <v>31</v>
      </c>
      <c r="M53" s="188" t="s">
        <v>31</v>
      </c>
      <c r="N53" s="188" t="s">
        <v>31</v>
      </c>
      <c r="O53" s="188"/>
      <c r="P53" s="416" t="s">
        <v>580</v>
      </c>
      <c r="Q53" s="150">
        <v>6.4</v>
      </c>
      <c r="R53" s="401" t="s">
        <v>241</v>
      </c>
      <c r="S53" s="414">
        <f t="shared" si="3"/>
        <v>6.4000000000000003E-3</v>
      </c>
    </row>
    <row r="54" spans="1:25">
      <c r="A54" s="346" t="s">
        <v>758</v>
      </c>
      <c r="B54" s="188">
        <f>S54</f>
        <v>1.6E-2</v>
      </c>
      <c r="C54" s="188"/>
      <c r="D54" s="188" t="s">
        <v>37</v>
      </c>
      <c r="E54" s="188" t="s">
        <v>43</v>
      </c>
      <c r="F54" s="188" t="s">
        <v>44</v>
      </c>
      <c r="G54" s="37" t="s">
        <v>29</v>
      </c>
      <c r="H54" s="188" t="s">
        <v>45</v>
      </c>
      <c r="I54" s="188">
        <v>2</v>
      </c>
      <c r="J54" s="188">
        <f t="shared" si="2"/>
        <v>-4.1351665567423561</v>
      </c>
      <c r="K54" s="188">
        <v>8.9582364335844641E-2</v>
      </c>
      <c r="L54" s="188" t="s">
        <v>31</v>
      </c>
      <c r="M54" s="188" t="s">
        <v>31</v>
      </c>
      <c r="N54" s="188" t="s">
        <v>31</v>
      </c>
      <c r="O54" s="188"/>
      <c r="P54" s="416" t="s">
        <v>580</v>
      </c>
      <c r="Q54" s="150">
        <v>16</v>
      </c>
      <c r="R54" s="401" t="s">
        <v>241</v>
      </c>
      <c r="S54" s="414">
        <f t="shared" si="3"/>
        <v>1.6E-2</v>
      </c>
    </row>
    <row r="55" spans="1:25">
      <c r="A55" s="438" t="s">
        <v>265</v>
      </c>
      <c r="B55" s="188">
        <f>Q56</f>
        <v>0.96</v>
      </c>
      <c r="C55" s="192" t="s">
        <v>266</v>
      </c>
      <c r="D55" s="188" t="s">
        <v>37</v>
      </c>
      <c r="E55" s="188" t="s">
        <v>40</v>
      </c>
      <c r="F55" s="188" t="s">
        <v>29</v>
      </c>
      <c r="G55" s="37" t="s">
        <v>35</v>
      </c>
      <c r="H55" s="188" t="s">
        <v>33</v>
      </c>
      <c r="I55" s="188">
        <v>2</v>
      </c>
      <c r="J55" s="188">
        <f t="shared" si="2"/>
        <v>-4.0821994520255166E-2</v>
      </c>
      <c r="K55" s="188">
        <v>9.6046863561492793E-2</v>
      </c>
      <c r="L55" s="188" t="s">
        <v>31</v>
      </c>
      <c r="M55" s="188" t="s">
        <v>31</v>
      </c>
      <c r="N55" s="188" t="s">
        <v>31</v>
      </c>
      <c r="O55" s="188"/>
      <c r="P55" s="416"/>
      <c r="Q55" s="119">
        <v>0.96</v>
      </c>
      <c r="R55" s="432"/>
      <c r="S55" s="433"/>
    </row>
    <row r="56" spans="1:25">
      <c r="A56" s="192" t="s">
        <v>263</v>
      </c>
      <c r="B56" s="188">
        <f>Q56</f>
        <v>0.96</v>
      </c>
      <c r="C56" s="188"/>
      <c r="D56" s="188" t="s">
        <v>37</v>
      </c>
      <c r="E56" s="188" t="s">
        <v>40</v>
      </c>
      <c r="F56" s="188" t="s">
        <v>29</v>
      </c>
      <c r="G56" s="188" t="s">
        <v>35</v>
      </c>
      <c r="H56" s="188" t="s">
        <v>33</v>
      </c>
      <c r="I56" s="188">
        <v>2</v>
      </c>
      <c r="J56" s="188">
        <f t="shared" si="2"/>
        <v>-4.0821994520255166E-2</v>
      </c>
      <c r="K56" s="188">
        <v>4.9999999999998969E-3</v>
      </c>
      <c r="L56" s="188" t="s">
        <v>31</v>
      </c>
      <c r="M56" s="188" t="s">
        <v>31</v>
      </c>
      <c r="N56" s="188" t="s">
        <v>31</v>
      </c>
      <c r="O56" s="188"/>
      <c r="P56" s="418" t="s">
        <v>241</v>
      </c>
      <c r="Q56" s="119">
        <v>0.96</v>
      </c>
      <c r="R56" s="188"/>
      <c r="S56" s="188"/>
    </row>
    <row r="57" spans="1:25">
      <c r="A57" s="88" t="s">
        <v>905</v>
      </c>
      <c r="B57" s="188">
        <f>Q56</f>
        <v>0.96</v>
      </c>
      <c r="C57" s="188"/>
      <c r="D57" s="188" t="s">
        <v>37</v>
      </c>
      <c r="E57" s="188" t="s">
        <v>40</v>
      </c>
      <c r="F57" s="188" t="s">
        <v>29</v>
      </c>
      <c r="G57" s="188" t="s">
        <v>59</v>
      </c>
      <c r="H57" s="188" t="s">
        <v>136</v>
      </c>
      <c r="I57" s="188">
        <v>2</v>
      </c>
      <c r="J57" s="188">
        <f t="shared" si="2"/>
        <v>-4.0821994520255166E-2</v>
      </c>
      <c r="K57" s="188">
        <v>4.9999999999998969E-3</v>
      </c>
      <c r="L57" s="188" t="s">
        <v>31</v>
      </c>
      <c r="M57" s="188" t="s">
        <v>31</v>
      </c>
      <c r="N57" s="188" t="s">
        <v>31</v>
      </c>
      <c r="O57" s="188"/>
      <c r="P57" s="188"/>
      <c r="Q57" s="188"/>
      <c r="R57" s="188"/>
      <c r="S57" s="188"/>
    </row>
  </sheetData>
  <pageMargins left="0.7" right="0.7" top="0.75" bottom="0.75" header="0.3" footer="0.3"/>
  <pageSetup paperSize="9"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1999D-FEA5-4F8F-9404-A30D07F44B17}">
  <sheetPr>
    <tabColor theme="6" tint="0.79998168889431442"/>
  </sheetPr>
  <dimension ref="A1:U363"/>
  <sheetViews>
    <sheetView zoomScale="85" zoomScaleNormal="85" workbookViewId="0">
      <selection activeCell="F43" sqref="F43"/>
    </sheetView>
  </sheetViews>
  <sheetFormatPr defaultColWidth="9.140625" defaultRowHeight="12.95"/>
  <cols>
    <col min="1" max="1" width="95.140625" style="188" customWidth="1"/>
    <col min="2" max="2" width="15.28515625" style="188" customWidth="1"/>
    <col min="3" max="3" width="14.28515625" style="188" customWidth="1"/>
    <col min="4" max="4" width="35.7109375" style="188" customWidth="1"/>
    <col min="5" max="6" width="9.140625" style="188"/>
    <col min="7" max="7" width="15.5703125" style="188" customWidth="1"/>
    <col min="8" max="17" width="9.140625" style="188"/>
    <col min="18" max="18" width="10.28515625" style="188" bestFit="1" customWidth="1"/>
    <col min="19" max="16384" width="9.140625" style="188"/>
  </cols>
  <sheetData>
    <row r="1" spans="1:18">
      <c r="A1" s="188" t="s">
        <v>0</v>
      </c>
      <c r="B1" s="188">
        <v>13</v>
      </c>
    </row>
    <row r="2" spans="1:18">
      <c r="A2" s="370" t="s">
        <v>5</v>
      </c>
      <c r="B2" s="371" t="s">
        <v>1216</v>
      </c>
      <c r="C2" s="372"/>
      <c r="D2" s="353"/>
      <c r="E2" s="353"/>
      <c r="F2" s="353"/>
      <c r="G2" s="353"/>
      <c r="H2" s="353"/>
      <c r="I2" s="353"/>
      <c r="J2" s="353"/>
      <c r="K2" s="353"/>
      <c r="L2" s="353"/>
      <c r="M2" s="353"/>
    </row>
    <row r="3" spans="1:18">
      <c r="A3" s="346" t="s">
        <v>7</v>
      </c>
      <c r="B3" s="188" t="s">
        <v>786</v>
      </c>
      <c r="C3" s="345"/>
    </row>
    <row r="4" spans="1:18">
      <c r="A4" s="346" t="s">
        <v>9</v>
      </c>
      <c r="B4" s="188" t="s">
        <v>1248</v>
      </c>
      <c r="C4" s="345"/>
    </row>
    <row r="5" spans="1:18" ht="16.5" customHeight="1">
      <c r="A5" s="346" t="s">
        <v>11</v>
      </c>
      <c r="B5" s="347" t="s">
        <v>796</v>
      </c>
    </row>
    <row r="6" spans="1:18">
      <c r="A6" s="346" t="s">
        <v>13</v>
      </c>
      <c r="B6" s="188" t="s">
        <v>14</v>
      </c>
    </row>
    <row r="7" spans="1:18">
      <c r="A7" s="346" t="s">
        <v>15</v>
      </c>
      <c r="B7" s="188">
        <f>B12</f>
        <v>6.4</v>
      </c>
      <c r="O7" s="188" t="s">
        <v>1249</v>
      </c>
    </row>
    <row r="8" spans="1:18">
      <c r="A8" s="346" t="s">
        <v>16</v>
      </c>
      <c r="B8" s="188" t="s">
        <v>17</v>
      </c>
    </row>
    <row r="9" spans="1:18">
      <c r="A9" s="346" t="s">
        <v>18</v>
      </c>
      <c r="B9" s="188" t="s">
        <v>37</v>
      </c>
    </row>
    <row r="10" spans="1:18">
      <c r="A10" s="343" t="s">
        <v>19</v>
      </c>
    </row>
    <row r="11" spans="1:18">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18">
      <c r="A12" s="346" t="s">
        <v>1216</v>
      </c>
      <c r="B12" s="188">
        <f>'2E. BATTERY DCDC CONVERTER'!B16</f>
        <v>6.4</v>
      </c>
      <c r="C12" s="188" t="s">
        <v>37</v>
      </c>
      <c r="D12" s="408" t="s">
        <v>2</v>
      </c>
      <c r="E12" s="188" t="s">
        <v>29</v>
      </c>
      <c r="F12" s="37" t="s">
        <v>14</v>
      </c>
      <c r="G12" s="188" t="s">
        <v>30</v>
      </c>
      <c r="H12" s="188">
        <v>1</v>
      </c>
      <c r="I12" s="188">
        <v>2.8722813232690055E-2</v>
      </c>
      <c r="J12" s="188" t="s">
        <v>31</v>
      </c>
      <c r="K12" s="188" t="s">
        <v>31</v>
      </c>
      <c r="L12" s="188" t="s">
        <v>31</v>
      </c>
      <c r="M12" s="188" t="s">
        <v>31</v>
      </c>
    </row>
    <row r="13" spans="1:18">
      <c r="A13" s="188" t="s">
        <v>1250</v>
      </c>
      <c r="B13" s="188">
        <v>1</v>
      </c>
      <c r="C13" s="188" t="s">
        <v>18</v>
      </c>
      <c r="D13" s="408" t="s">
        <v>2</v>
      </c>
      <c r="E13" s="188" t="s">
        <v>29</v>
      </c>
      <c r="F13" s="37" t="s">
        <v>14</v>
      </c>
      <c r="G13" s="188" t="s">
        <v>33</v>
      </c>
      <c r="H13" s="188">
        <v>1</v>
      </c>
      <c r="I13" s="188">
        <v>1</v>
      </c>
      <c r="J13" s="188" t="s">
        <v>31</v>
      </c>
      <c r="K13" s="188" t="s">
        <v>31</v>
      </c>
      <c r="L13" s="188" t="s">
        <v>31</v>
      </c>
      <c r="M13" s="188" t="s">
        <v>31</v>
      </c>
    </row>
    <row r="14" spans="1:18">
      <c r="A14" s="188" t="s">
        <v>1251</v>
      </c>
      <c r="B14" s="188">
        <v>1</v>
      </c>
      <c r="C14" s="188" t="s">
        <v>18</v>
      </c>
      <c r="D14" s="408" t="s">
        <v>2</v>
      </c>
      <c r="E14" s="188" t="s">
        <v>29</v>
      </c>
      <c r="F14" s="37" t="s">
        <v>14</v>
      </c>
      <c r="G14" s="188" t="s">
        <v>33</v>
      </c>
      <c r="H14" s="188">
        <v>1</v>
      </c>
      <c r="I14" s="188">
        <v>1</v>
      </c>
      <c r="J14" s="188" t="s">
        <v>31</v>
      </c>
      <c r="K14" s="188" t="s">
        <v>31</v>
      </c>
      <c r="L14" s="188" t="s">
        <v>31</v>
      </c>
      <c r="M14" s="188" t="s">
        <v>31</v>
      </c>
    </row>
    <row r="15" spans="1:18" ht="14.45">
      <c r="A15" s="88" t="s">
        <v>179</v>
      </c>
      <c r="B15" s="392">
        <f>R15</f>
        <v>6.2E-4</v>
      </c>
      <c r="C15" s="188" t="s">
        <v>37</v>
      </c>
      <c r="D15" s="188" t="s">
        <v>40</v>
      </c>
      <c r="E15" s="188" t="s">
        <v>29</v>
      </c>
      <c r="F15" s="37" t="s">
        <v>35</v>
      </c>
      <c r="G15" s="188" t="s">
        <v>33</v>
      </c>
      <c r="H15" s="188">
        <v>2</v>
      </c>
      <c r="I15" s="188">
        <f>LN(B15)</f>
        <v>-7.3857910799251369</v>
      </c>
      <c r="J15" s="188">
        <v>2.8722813232690055E-2</v>
      </c>
      <c r="K15" s="188" t="s">
        <v>31</v>
      </c>
      <c r="L15" s="188" t="s">
        <v>31</v>
      </c>
      <c r="M15" s="188" t="s">
        <v>31</v>
      </c>
      <c r="O15" s="383" t="s">
        <v>580</v>
      </c>
      <c r="P15" s="151">
        <v>0.62</v>
      </c>
      <c r="Q15" s="188" t="s">
        <v>241</v>
      </c>
      <c r="R15" s="392">
        <f>P15*0.001</f>
        <v>6.2E-4</v>
      </c>
    </row>
    <row r="16" spans="1:18">
      <c r="A16" s="370" t="s">
        <v>5</v>
      </c>
      <c r="B16" s="371" t="s">
        <v>1251</v>
      </c>
      <c r="C16" s="372"/>
      <c r="D16" s="353"/>
      <c r="E16" s="353"/>
      <c r="F16" s="353"/>
      <c r="G16" s="353"/>
      <c r="H16" s="353"/>
      <c r="I16" s="353"/>
      <c r="J16" s="353"/>
      <c r="K16" s="353"/>
      <c r="L16" s="353"/>
      <c r="M16" s="353"/>
    </row>
    <row r="17" spans="1:18">
      <c r="A17" s="346" t="s">
        <v>7</v>
      </c>
      <c r="B17" s="188" t="s">
        <v>786</v>
      </c>
      <c r="C17" s="345"/>
    </row>
    <row r="18" spans="1:18">
      <c r="A18" s="346" t="s">
        <v>9</v>
      </c>
      <c r="B18" s="188" t="s">
        <v>1252</v>
      </c>
      <c r="C18" s="345"/>
    </row>
    <row r="19" spans="1:18" ht="16.5" customHeight="1">
      <c r="A19" s="346" t="s">
        <v>11</v>
      </c>
      <c r="B19" s="347" t="s">
        <v>796</v>
      </c>
    </row>
    <row r="20" spans="1:18">
      <c r="A20" s="346" t="s">
        <v>13</v>
      </c>
      <c r="B20" s="188" t="s">
        <v>14</v>
      </c>
    </row>
    <row r="21" spans="1:18">
      <c r="A21" s="346" t="s">
        <v>15</v>
      </c>
      <c r="B21" s="188">
        <v>1</v>
      </c>
    </row>
    <row r="22" spans="1:18">
      <c r="A22" s="346" t="s">
        <v>16</v>
      </c>
      <c r="B22" s="188" t="s">
        <v>17</v>
      </c>
    </row>
    <row r="23" spans="1:18">
      <c r="A23" s="346" t="s">
        <v>18</v>
      </c>
      <c r="B23" s="188" t="s">
        <v>18</v>
      </c>
    </row>
    <row r="24" spans="1:18">
      <c r="A24" s="343" t="s">
        <v>19</v>
      </c>
    </row>
    <row r="25" spans="1:18">
      <c r="A25" s="343" t="s">
        <v>20</v>
      </c>
      <c r="B25" s="344" t="s">
        <v>21</v>
      </c>
      <c r="C25" s="344" t="s">
        <v>18</v>
      </c>
      <c r="D25" s="344" t="s">
        <v>22</v>
      </c>
      <c r="E25" s="344" t="s">
        <v>7</v>
      </c>
      <c r="F25" s="344" t="s">
        <v>13</v>
      </c>
      <c r="G25" s="344" t="s">
        <v>16</v>
      </c>
      <c r="H25" s="344" t="s">
        <v>23</v>
      </c>
      <c r="I25" s="344" t="s">
        <v>24</v>
      </c>
      <c r="J25" s="344" t="s">
        <v>25</v>
      </c>
      <c r="K25" s="344" t="s">
        <v>26</v>
      </c>
      <c r="L25" s="344" t="s">
        <v>27</v>
      </c>
      <c r="M25" s="344" t="s">
        <v>28</v>
      </c>
      <c r="N25" s="344" t="s">
        <v>11</v>
      </c>
    </row>
    <row r="26" spans="1:18">
      <c r="A26" s="188" t="s">
        <v>1251</v>
      </c>
      <c r="B26" s="188">
        <v>1</v>
      </c>
      <c r="C26" s="188" t="s">
        <v>18</v>
      </c>
      <c r="D26" s="408" t="s">
        <v>2</v>
      </c>
      <c r="E26" s="188" t="s">
        <v>29</v>
      </c>
      <c r="F26" s="37" t="s">
        <v>14</v>
      </c>
      <c r="G26" s="188" t="s">
        <v>30</v>
      </c>
      <c r="H26" s="188">
        <v>1</v>
      </c>
      <c r="I26" s="188">
        <v>1</v>
      </c>
      <c r="J26" s="188" t="s">
        <v>31</v>
      </c>
      <c r="K26" s="188" t="s">
        <v>31</v>
      </c>
      <c r="L26" s="188" t="s">
        <v>31</v>
      </c>
      <c r="M26" s="188" t="s">
        <v>31</v>
      </c>
    </row>
    <row r="27" spans="1:18">
      <c r="A27" s="88" t="s">
        <v>614</v>
      </c>
      <c r="B27" s="188">
        <f>P27</f>
        <v>1.21</v>
      </c>
      <c r="C27" s="188" t="s">
        <v>37</v>
      </c>
      <c r="D27" s="188" t="s">
        <v>40</v>
      </c>
      <c r="E27" s="188" t="s">
        <v>29</v>
      </c>
      <c r="F27" s="188" t="s">
        <v>59</v>
      </c>
      <c r="G27" s="188" t="s">
        <v>33</v>
      </c>
      <c r="H27" s="188">
        <v>1</v>
      </c>
      <c r="I27" s="188">
        <f>B27</f>
        <v>1.21</v>
      </c>
      <c r="J27" s="188" t="s">
        <v>31</v>
      </c>
      <c r="K27" s="188" t="s">
        <v>31</v>
      </c>
      <c r="L27" s="188" t="s">
        <v>31</v>
      </c>
      <c r="M27" s="188" t="s">
        <v>31</v>
      </c>
      <c r="O27" s="188" t="s">
        <v>241</v>
      </c>
      <c r="P27" s="188">
        <v>1.21</v>
      </c>
    </row>
    <row r="28" spans="1:18" ht="14.45">
      <c r="A28" s="88" t="s">
        <v>913</v>
      </c>
      <c r="B28" s="188">
        <f>R28</f>
        <v>0.79800000000000004</v>
      </c>
      <c r="C28" s="188" t="s">
        <v>37</v>
      </c>
      <c r="D28" s="188" t="s">
        <v>40</v>
      </c>
      <c r="E28" s="188" t="s">
        <v>29</v>
      </c>
      <c r="F28" s="188" t="s">
        <v>59</v>
      </c>
      <c r="G28" s="188" t="s">
        <v>33</v>
      </c>
      <c r="H28" s="188">
        <v>2</v>
      </c>
      <c r="I28" s="188">
        <f>LN(B28)</f>
        <v>-0.22564668153232822</v>
      </c>
      <c r="J28" s="188">
        <v>3.7749172176353707E-2</v>
      </c>
      <c r="K28" s="188" t="s">
        <v>31</v>
      </c>
      <c r="L28" s="188" t="s">
        <v>31</v>
      </c>
      <c r="M28" s="188" t="s">
        <v>31</v>
      </c>
      <c r="O28" s="401" t="s">
        <v>580</v>
      </c>
      <c r="P28" s="138">
        <v>798</v>
      </c>
      <c r="Q28" s="188" t="s">
        <v>241</v>
      </c>
      <c r="R28" s="188">
        <f>P28*0.001</f>
        <v>0.79800000000000004</v>
      </c>
    </row>
    <row r="29" spans="1:18" ht="14.45">
      <c r="A29" s="88" t="s">
        <v>914</v>
      </c>
      <c r="B29" s="188">
        <f>R29</f>
        <v>4.7600000000000003E-2</v>
      </c>
      <c r="C29" s="188" t="s">
        <v>37</v>
      </c>
      <c r="D29" s="188" t="s">
        <v>40</v>
      </c>
      <c r="E29" s="188" t="s">
        <v>29</v>
      </c>
      <c r="F29" s="188" t="s">
        <v>59</v>
      </c>
      <c r="G29" s="188" t="s">
        <v>33</v>
      </c>
      <c r="H29" s="188">
        <v>2</v>
      </c>
      <c r="I29" s="188">
        <f>LN(B29)</f>
        <v>-3.0449225177447627</v>
      </c>
      <c r="J29" s="188">
        <v>3.7749172176353707E-2</v>
      </c>
      <c r="K29" s="188" t="s">
        <v>31</v>
      </c>
      <c r="L29" s="188" t="s">
        <v>31</v>
      </c>
      <c r="M29" s="188" t="s">
        <v>31</v>
      </c>
      <c r="O29" s="401" t="s">
        <v>580</v>
      </c>
      <c r="P29" s="138">
        <v>47.6</v>
      </c>
      <c r="Q29" s="188" t="s">
        <v>241</v>
      </c>
      <c r="R29" s="188">
        <f t="shared" ref="R29:R30" si="0">P29*0.001</f>
        <v>4.7600000000000003E-2</v>
      </c>
    </row>
    <row r="30" spans="1:18" ht="14.45">
      <c r="A30" s="88" t="s">
        <v>915</v>
      </c>
      <c r="B30" s="188">
        <f>R30</f>
        <v>0.36</v>
      </c>
      <c r="C30" s="188" t="s">
        <v>37</v>
      </c>
      <c r="D30" s="188" t="s">
        <v>40</v>
      </c>
      <c r="E30" s="188" t="s">
        <v>29</v>
      </c>
      <c r="F30" s="188" t="s">
        <v>59</v>
      </c>
      <c r="G30" s="188" t="s">
        <v>33</v>
      </c>
      <c r="H30" s="188">
        <v>2</v>
      </c>
      <c r="I30" s="188">
        <f>LN(B30)</f>
        <v>-1.0216512475319814</v>
      </c>
      <c r="J30" s="188">
        <v>3.7749172176353707E-2</v>
      </c>
      <c r="K30" s="188" t="s">
        <v>31</v>
      </c>
      <c r="L30" s="188" t="s">
        <v>31</v>
      </c>
      <c r="M30" s="188" t="s">
        <v>31</v>
      </c>
      <c r="O30" s="401" t="s">
        <v>580</v>
      </c>
      <c r="P30" s="138">
        <v>360</v>
      </c>
      <c r="Q30" s="188" t="s">
        <v>241</v>
      </c>
      <c r="R30" s="188">
        <f t="shared" si="0"/>
        <v>0.36</v>
      </c>
    </row>
    <row r="31" spans="1:18">
      <c r="A31" s="370" t="s">
        <v>5</v>
      </c>
      <c r="B31" s="371" t="s">
        <v>1250</v>
      </c>
      <c r="C31" s="372"/>
      <c r="D31" s="353"/>
      <c r="E31" s="353"/>
      <c r="F31" s="353"/>
      <c r="G31" s="353"/>
      <c r="H31" s="353"/>
      <c r="I31" s="353"/>
      <c r="J31" s="353"/>
      <c r="K31" s="353"/>
      <c r="L31" s="353"/>
      <c r="M31" s="353"/>
    </row>
    <row r="32" spans="1:18">
      <c r="A32" s="346" t="s">
        <v>7</v>
      </c>
      <c r="B32" s="188" t="s">
        <v>786</v>
      </c>
      <c r="C32" s="345"/>
    </row>
    <row r="33" spans="1:18">
      <c r="A33" s="346" t="s">
        <v>9</v>
      </c>
      <c r="B33" s="188" t="s">
        <v>1253</v>
      </c>
      <c r="C33" s="345"/>
    </row>
    <row r="34" spans="1:18" ht="18" customHeight="1">
      <c r="A34" s="346" t="s">
        <v>11</v>
      </c>
      <c r="B34" s="347" t="s">
        <v>796</v>
      </c>
    </row>
    <row r="35" spans="1:18">
      <c r="A35" s="346" t="s">
        <v>13</v>
      </c>
      <c r="B35" s="188" t="s">
        <v>14</v>
      </c>
    </row>
    <row r="36" spans="1:18">
      <c r="A36" s="346" t="s">
        <v>15</v>
      </c>
      <c r="B36" s="188">
        <v>1</v>
      </c>
    </row>
    <row r="37" spans="1:18">
      <c r="A37" s="346" t="s">
        <v>16</v>
      </c>
      <c r="B37" s="188" t="s">
        <v>17</v>
      </c>
    </row>
    <row r="38" spans="1:18">
      <c r="A38" s="346" t="s">
        <v>18</v>
      </c>
      <c r="B38" s="188" t="s">
        <v>18</v>
      </c>
    </row>
    <row r="39" spans="1:18">
      <c r="A39" s="343" t="s">
        <v>19</v>
      </c>
    </row>
    <row r="40" spans="1:18">
      <c r="A40" s="343" t="s">
        <v>20</v>
      </c>
      <c r="B40" s="344" t="s">
        <v>21</v>
      </c>
      <c r="C40" s="344" t="s">
        <v>18</v>
      </c>
      <c r="D40" s="344" t="s">
        <v>22</v>
      </c>
      <c r="E40" s="344" t="s">
        <v>7</v>
      </c>
      <c r="F40" s="344" t="s">
        <v>13</v>
      </c>
      <c r="G40" s="344" t="s">
        <v>16</v>
      </c>
      <c r="H40" s="344" t="s">
        <v>23</v>
      </c>
      <c r="I40" s="344" t="s">
        <v>24</v>
      </c>
      <c r="J40" s="344" t="s">
        <v>25</v>
      </c>
      <c r="K40" s="344" t="s">
        <v>26</v>
      </c>
      <c r="L40" s="344" t="s">
        <v>27</v>
      </c>
      <c r="M40" s="344" t="s">
        <v>28</v>
      </c>
      <c r="N40" s="344" t="s">
        <v>11</v>
      </c>
    </row>
    <row r="41" spans="1:18">
      <c r="A41" s="188" t="s">
        <v>1250</v>
      </c>
      <c r="B41" s="188">
        <v>1</v>
      </c>
      <c r="C41" s="188" t="s">
        <v>18</v>
      </c>
      <c r="D41" s="408" t="s">
        <v>2</v>
      </c>
      <c r="E41" s="188" t="s">
        <v>29</v>
      </c>
      <c r="F41" s="37" t="s">
        <v>14</v>
      </c>
      <c r="G41" s="188" t="s">
        <v>30</v>
      </c>
      <c r="H41" s="188">
        <v>1</v>
      </c>
      <c r="I41" s="188">
        <v>1</v>
      </c>
      <c r="J41" s="188" t="s">
        <v>31</v>
      </c>
      <c r="K41" s="188" t="s">
        <v>31</v>
      </c>
      <c r="L41" s="188" t="s">
        <v>31</v>
      </c>
      <c r="M41" s="188" t="s">
        <v>31</v>
      </c>
    </row>
    <row r="42" spans="1:18">
      <c r="A42" s="88" t="s">
        <v>1254</v>
      </c>
      <c r="B42" s="188">
        <f>B55</f>
        <v>0.42799999999999999</v>
      </c>
      <c r="C42" s="188" t="s">
        <v>37</v>
      </c>
      <c r="D42" s="408" t="s">
        <v>2</v>
      </c>
      <c r="E42" s="188" t="s">
        <v>29</v>
      </c>
      <c r="F42" s="37" t="s">
        <v>14</v>
      </c>
      <c r="G42" s="188" t="s">
        <v>33</v>
      </c>
      <c r="H42" s="188">
        <v>1</v>
      </c>
      <c r="I42" s="188">
        <f>B42</f>
        <v>0.42799999999999999</v>
      </c>
      <c r="J42" s="188" t="s">
        <v>31</v>
      </c>
      <c r="K42" s="188" t="s">
        <v>31</v>
      </c>
      <c r="L42" s="188" t="s">
        <v>31</v>
      </c>
      <c r="M42" s="188" t="s">
        <v>31</v>
      </c>
      <c r="O42" s="192"/>
      <c r="P42" s="421"/>
    </row>
    <row r="43" spans="1:18">
      <c r="A43" s="88" t="s">
        <v>1255</v>
      </c>
      <c r="B43" s="188">
        <v>1</v>
      </c>
      <c r="C43" s="188" t="s">
        <v>18</v>
      </c>
      <c r="D43" s="408" t="s">
        <v>2</v>
      </c>
      <c r="E43" s="188" t="s">
        <v>29</v>
      </c>
      <c r="F43" s="37" t="s">
        <v>14</v>
      </c>
      <c r="G43" s="188" t="s">
        <v>33</v>
      </c>
      <c r="H43" s="188">
        <v>1</v>
      </c>
      <c r="I43" s="188">
        <v>1</v>
      </c>
      <c r="J43" s="188" t="s">
        <v>31</v>
      </c>
      <c r="K43" s="188" t="s">
        <v>31</v>
      </c>
      <c r="L43" s="188" t="s">
        <v>31</v>
      </c>
      <c r="M43" s="188" t="s">
        <v>31</v>
      </c>
    </row>
    <row r="44" spans="1:18">
      <c r="A44" s="346" t="s">
        <v>269</v>
      </c>
      <c r="B44" s="358">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O44" s="383" t="s">
        <v>248</v>
      </c>
      <c r="P44" s="393">
        <v>0.03</v>
      </c>
      <c r="Q44" s="188" t="s">
        <v>248</v>
      </c>
      <c r="R44" s="358">
        <f>P44</f>
        <v>0.03</v>
      </c>
    </row>
    <row r="45" spans="1:18">
      <c r="A45" s="370" t="s">
        <v>5</v>
      </c>
      <c r="B45" s="371" t="s">
        <v>1254</v>
      </c>
      <c r="C45" s="372"/>
      <c r="D45" s="353"/>
      <c r="E45" s="353"/>
      <c r="F45" s="353"/>
      <c r="G45" s="353"/>
      <c r="H45" s="353"/>
      <c r="I45" s="353"/>
      <c r="J45" s="353"/>
      <c r="K45" s="353"/>
      <c r="L45" s="353"/>
      <c r="M45" s="353"/>
    </row>
    <row r="46" spans="1:18">
      <c r="A46" s="346" t="s">
        <v>7</v>
      </c>
      <c r="B46" s="188" t="s">
        <v>786</v>
      </c>
      <c r="C46" s="345"/>
    </row>
    <row r="47" spans="1:18">
      <c r="A47" s="346" t="s">
        <v>9</v>
      </c>
      <c r="B47" s="188" t="s">
        <v>1256</v>
      </c>
      <c r="C47" s="345"/>
    </row>
    <row r="48" spans="1:18" ht="11.25" customHeight="1">
      <c r="A48" s="346" t="s">
        <v>11</v>
      </c>
      <c r="B48" s="347" t="s">
        <v>796</v>
      </c>
    </row>
    <row r="49" spans="1:18">
      <c r="A49" s="346" t="s">
        <v>13</v>
      </c>
      <c r="B49" s="188" t="s">
        <v>14</v>
      </c>
    </row>
    <row r="50" spans="1:18">
      <c r="A50" s="346" t="s">
        <v>15</v>
      </c>
      <c r="B50" s="188">
        <f>B55</f>
        <v>0.42799999999999999</v>
      </c>
    </row>
    <row r="51" spans="1:18">
      <c r="A51" s="346" t="s">
        <v>16</v>
      </c>
      <c r="B51" s="188" t="s">
        <v>17</v>
      </c>
    </row>
    <row r="52" spans="1:18">
      <c r="A52" s="346" t="s">
        <v>18</v>
      </c>
      <c r="B52" s="188" t="s">
        <v>37</v>
      </c>
    </row>
    <row r="53" spans="1:18">
      <c r="A53" s="343" t="s">
        <v>19</v>
      </c>
    </row>
    <row r="54" spans="1:18">
      <c r="A54" s="343" t="s">
        <v>20</v>
      </c>
      <c r="B54" s="344" t="s">
        <v>21</v>
      </c>
      <c r="C54" s="344" t="s">
        <v>18</v>
      </c>
      <c r="D54" s="344" t="s">
        <v>22</v>
      </c>
      <c r="E54" s="344" t="s">
        <v>7</v>
      </c>
      <c r="F54" s="344" t="s">
        <v>13</v>
      </c>
      <c r="G54" s="344" t="s">
        <v>16</v>
      </c>
      <c r="H54" s="344" t="s">
        <v>23</v>
      </c>
      <c r="I54" s="344" t="s">
        <v>24</v>
      </c>
      <c r="J54" s="344" t="s">
        <v>25</v>
      </c>
      <c r="K54" s="344" t="s">
        <v>26</v>
      </c>
      <c r="L54" s="344" t="s">
        <v>27</v>
      </c>
      <c r="M54" s="344" t="s">
        <v>28</v>
      </c>
      <c r="N54" s="344" t="s">
        <v>11</v>
      </c>
    </row>
    <row r="55" spans="1:18" ht="14.45">
      <c r="A55" s="88" t="s">
        <v>1254</v>
      </c>
      <c r="B55" s="188">
        <f>P55</f>
        <v>0.42799999999999999</v>
      </c>
      <c r="C55" s="188" t="s">
        <v>37</v>
      </c>
      <c r="D55" s="408" t="s">
        <v>2</v>
      </c>
      <c r="E55" s="188" t="s">
        <v>29</v>
      </c>
      <c r="F55" s="37" t="s">
        <v>14</v>
      </c>
      <c r="G55" s="188" t="s">
        <v>30</v>
      </c>
      <c r="H55" s="188">
        <v>1</v>
      </c>
      <c r="I55" s="188">
        <f>B55</f>
        <v>0.42799999999999999</v>
      </c>
      <c r="J55" s="188" t="s">
        <v>31</v>
      </c>
      <c r="K55" s="188" t="s">
        <v>31</v>
      </c>
      <c r="L55" s="188" t="s">
        <v>31</v>
      </c>
      <c r="M55" s="188" t="s">
        <v>31</v>
      </c>
      <c r="O55" s="482" t="s">
        <v>241</v>
      </c>
      <c r="P55" s="138">
        <v>0.42799999999999999</v>
      </c>
      <c r="Q55" s="188" t="s">
        <v>241</v>
      </c>
      <c r="R55" s="188">
        <f>P55</f>
        <v>0.42799999999999999</v>
      </c>
    </row>
    <row r="56" spans="1:18" ht="14.45">
      <c r="A56" s="88" t="s">
        <v>179</v>
      </c>
      <c r="B56" s="392">
        <f>R56</f>
        <v>0.42799999999999999</v>
      </c>
      <c r="C56" s="188" t="s">
        <v>37</v>
      </c>
      <c r="D56" s="188" t="s">
        <v>40</v>
      </c>
      <c r="E56" s="188" t="s">
        <v>29</v>
      </c>
      <c r="F56" s="37" t="s">
        <v>35</v>
      </c>
      <c r="G56" s="188" t="s">
        <v>33</v>
      </c>
      <c r="H56" s="188">
        <v>2</v>
      </c>
      <c r="I56" s="188">
        <f>LN(B56)</f>
        <v>-0.84863208340034024</v>
      </c>
      <c r="J56" s="188">
        <v>2.8722813232690055E-2</v>
      </c>
      <c r="K56" s="188" t="s">
        <v>31</v>
      </c>
      <c r="L56" s="188" t="s">
        <v>31</v>
      </c>
      <c r="M56" s="188" t="s">
        <v>31</v>
      </c>
      <c r="O56" s="484" t="s">
        <v>241</v>
      </c>
      <c r="P56" s="114">
        <v>0.42799999999999999</v>
      </c>
      <c r="Q56" s="188" t="s">
        <v>241</v>
      </c>
      <c r="R56" s="392">
        <f>P56</f>
        <v>0.42799999999999999</v>
      </c>
    </row>
    <row r="57" spans="1:18" ht="14.45">
      <c r="A57" s="346" t="s">
        <v>269</v>
      </c>
      <c r="B57" s="350">
        <f>R57</f>
        <v>0.129</v>
      </c>
      <c r="C57" s="188" t="s">
        <v>39</v>
      </c>
      <c r="D57" s="188" t="s">
        <v>40</v>
      </c>
      <c r="E57" s="188" t="s">
        <v>29</v>
      </c>
      <c r="F57" s="37" t="s">
        <v>35</v>
      </c>
      <c r="G57" s="188" t="s">
        <v>33</v>
      </c>
      <c r="H57" s="188">
        <v>2</v>
      </c>
      <c r="I57" s="188">
        <f t="shared" ref="I57" si="2">LN(B57)</f>
        <v>-2.0479428746204649</v>
      </c>
      <c r="J57" s="188">
        <v>7.2284161474004766E-2</v>
      </c>
      <c r="K57" s="188" t="s">
        <v>31</v>
      </c>
      <c r="L57" s="188" t="s">
        <v>31</v>
      </c>
      <c r="M57" s="188" t="s">
        <v>31</v>
      </c>
      <c r="O57" s="383" t="s">
        <v>248</v>
      </c>
      <c r="P57" s="114">
        <v>0.129</v>
      </c>
      <c r="Q57" s="188" t="s">
        <v>248</v>
      </c>
      <c r="R57" s="350">
        <f>P57</f>
        <v>0.129</v>
      </c>
    </row>
    <row r="58" spans="1:18">
      <c r="A58" s="370" t="s">
        <v>5</v>
      </c>
      <c r="B58" s="106" t="s">
        <v>1255</v>
      </c>
      <c r="C58" s="372"/>
      <c r="D58" s="353"/>
      <c r="E58" s="353"/>
      <c r="F58" s="353"/>
      <c r="G58" s="353"/>
      <c r="H58" s="353"/>
      <c r="I58" s="353"/>
      <c r="J58" s="353"/>
      <c r="K58" s="353"/>
      <c r="L58" s="353"/>
      <c r="M58" s="353"/>
    </row>
    <row r="59" spans="1:18">
      <c r="A59" s="346" t="s">
        <v>7</v>
      </c>
      <c r="B59" s="188" t="s">
        <v>786</v>
      </c>
      <c r="C59" s="345"/>
    </row>
    <row r="60" spans="1:18">
      <c r="A60" s="424" t="s">
        <v>9</v>
      </c>
      <c r="B60" s="188" t="s">
        <v>1257</v>
      </c>
      <c r="C60" s="345"/>
    </row>
    <row r="61" spans="1:18" ht="27.75" customHeight="1">
      <c r="A61" s="346" t="s">
        <v>11</v>
      </c>
      <c r="B61" s="347" t="s">
        <v>796</v>
      </c>
    </row>
    <row r="62" spans="1:18">
      <c r="A62" s="346" t="s">
        <v>13</v>
      </c>
      <c r="B62" s="188" t="s">
        <v>14</v>
      </c>
    </row>
    <row r="63" spans="1:18">
      <c r="A63" s="346" t="s">
        <v>15</v>
      </c>
      <c r="B63" s="188">
        <v>1</v>
      </c>
    </row>
    <row r="64" spans="1:18">
      <c r="A64" s="346" t="s">
        <v>16</v>
      </c>
      <c r="B64" s="188" t="s">
        <v>17</v>
      </c>
    </row>
    <row r="65" spans="1:18">
      <c r="A65" s="346" t="s">
        <v>18</v>
      </c>
      <c r="B65" s="188" t="s">
        <v>18</v>
      </c>
    </row>
    <row r="66" spans="1:18">
      <c r="A66" s="343" t="s">
        <v>19</v>
      </c>
    </row>
    <row r="67" spans="1:18">
      <c r="A67" s="343" t="s">
        <v>20</v>
      </c>
      <c r="B67" s="344" t="s">
        <v>21</v>
      </c>
      <c r="C67" s="344" t="s">
        <v>18</v>
      </c>
      <c r="D67" s="344" t="s">
        <v>22</v>
      </c>
      <c r="E67" s="344" t="s">
        <v>7</v>
      </c>
      <c r="F67" s="344" t="s">
        <v>13</v>
      </c>
      <c r="G67" s="344" t="s">
        <v>16</v>
      </c>
      <c r="H67" s="344" t="s">
        <v>23</v>
      </c>
      <c r="I67" s="344" t="s">
        <v>24</v>
      </c>
      <c r="J67" s="344" t="s">
        <v>25</v>
      </c>
      <c r="K67" s="344" t="s">
        <v>26</v>
      </c>
      <c r="L67" s="344" t="s">
        <v>27</v>
      </c>
      <c r="M67" s="344" t="s">
        <v>28</v>
      </c>
      <c r="N67" s="344" t="s">
        <v>11</v>
      </c>
    </row>
    <row r="68" spans="1:18">
      <c r="A68" s="88" t="s">
        <v>1255</v>
      </c>
      <c r="B68" s="188">
        <v>1</v>
      </c>
      <c r="C68" s="188" t="s">
        <v>18</v>
      </c>
      <c r="D68" s="408" t="s">
        <v>2</v>
      </c>
      <c r="E68" s="188" t="s">
        <v>29</v>
      </c>
      <c r="F68" s="37" t="s">
        <v>14</v>
      </c>
      <c r="G68" s="188" t="s">
        <v>30</v>
      </c>
      <c r="H68" s="188">
        <v>1</v>
      </c>
      <c r="I68" s="188">
        <v>1</v>
      </c>
      <c r="J68" s="188" t="s">
        <v>31</v>
      </c>
      <c r="K68" s="188" t="s">
        <v>31</v>
      </c>
      <c r="L68" s="188" t="s">
        <v>31</v>
      </c>
      <c r="M68" s="188" t="s">
        <v>31</v>
      </c>
    </row>
    <row r="69" spans="1:18">
      <c r="A69" s="88" t="s">
        <v>1258</v>
      </c>
      <c r="B69" s="392">
        <f>B77</f>
        <v>12.33</v>
      </c>
      <c r="C69" s="188" t="s">
        <v>37</v>
      </c>
      <c r="D69" s="408" t="s">
        <v>2</v>
      </c>
      <c r="E69" s="188" t="s">
        <v>29</v>
      </c>
      <c r="F69" s="37" t="s">
        <v>14</v>
      </c>
      <c r="G69" s="188" t="s">
        <v>33</v>
      </c>
      <c r="H69" s="188">
        <v>1</v>
      </c>
      <c r="I69" s="392">
        <f>B69</f>
        <v>12.33</v>
      </c>
      <c r="J69" s="188" t="s">
        <v>31</v>
      </c>
      <c r="K69" s="188" t="s">
        <v>31</v>
      </c>
      <c r="L69" s="188" t="s">
        <v>31</v>
      </c>
      <c r="M69" s="188" t="s">
        <v>31</v>
      </c>
      <c r="O69" s="383"/>
      <c r="P69" s="394"/>
      <c r="Q69" s="188" t="s">
        <v>241</v>
      </c>
      <c r="R69" s="392">
        <v>0.01</v>
      </c>
    </row>
    <row r="70" spans="1:18">
      <c r="A70" s="88" t="s">
        <v>1259</v>
      </c>
      <c r="B70" s="350">
        <v>1</v>
      </c>
      <c r="C70" s="188" t="s">
        <v>18</v>
      </c>
      <c r="D70" s="408" t="s">
        <v>2</v>
      </c>
      <c r="E70" s="188" t="s">
        <v>29</v>
      </c>
      <c r="F70" s="37" t="s">
        <v>14</v>
      </c>
      <c r="G70" s="188" t="s">
        <v>33</v>
      </c>
      <c r="H70" s="188">
        <v>1</v>
      </c>
      <c r="I70" s="188">
        <v>1</v>
      </c>
      <c r="J70" s="188" t="s">
        <v>31</v>
      </c>
      <c r="K70" s="188" t="s">
        <v>31</v>
      </c>
      <c r="L70" s="188" t="s">
        <v>31</v>
      </c>
      <c r="M70" s="188" t="s">
        <v>31</v>
      </c>
      <c r="O70" s="383"/>
      <c r="P70" s="440"/>
      <c r="R70" s="350"/>
    </row>
    <row r="71" spans="1:18" ht="14.45">
      <c r="A71" s="346" t="s">
        <v>269</v>
      </c>
      <c r="B71" s="350">
        <f>R71</f>
        <v>1.47</v>
      </c>
      <c r="C71" s="188" t="s">
        <v>39</v>
      </c>
      <c r="D71" s="188" t="s">
        <v>40</v>
      </c>
      <c r="E71" s="188" t="s">
        <v>29</v>
      </c>
      <c r="F71" s="37" t="s">
        <v>35</v>
      </c>
      <c r="G71" s="188" t="s">
        <v>33</v>
      </c>
      <c r="H71" s="188">
        <v>2</v>
      </c>
      <c r="I71" s="188">
        <f t="shared" ref="I71" si="3">LN(B71)</f>
        <v>0.38526240079064489</v>
      </c>
      <c r="J71" s="188">
        <v>7.2284161474004766E-2</v>
      </c>
      <c r="K71" s="188" t="s">
        <v>31</v>
      </c>
      <c r="L71" s="188" t="s">
        <v>31</v>
      </c>
      <c r="M71" s="188" t="s">
        <v>31</v>
      </c>
      <c r="O71" s="383" t="s">
        <v>248</v>
      </c>
      <c r="P71" s="138">
        <v>1.47</v>
      </c>
      <c r="Q71" s="188" t="s">
        <v>248</v>
      </c>
      <c r="R71" s="350">
        <f>P71</f>
        <v>1.47</v>
      </c>
    </row>
    <row r="72" spans="1:18">
      <c r="A72" s="370" t="s">
        <v>5</v>
      </c>
      <c r="B72" s="106" t="s">
        <v>1258</v>
      </c>
      <c r="C72" s="372"/>
      <c r="D72" s="353"/>
      <c r="E72" s="353"/>
      <c r="F72" s="353"/>
      <c r="G72" s="353"/>
      <c r="H72" s="353"/>
      <c r="I72" s="353"/>
      <c r="J72" s="353"/>
      <c r="K72" s="353"/>
      <c r="L72" s="353"/>
      <c r="M72" s="353"/>
    </row>
    <row r="73" spans="1:18">
      <c r="A73" s="346" t="s">
        <v>7</v>
      </c>
      <c r="B73" s="188" t="s">
        <v>786</v>
      </c>
      <c r="C73" s="345"/>
    </row>
    <row r="74" spans="1:18">
      <c r="A74" s="424" t="s">
        <v>9</v>
      </c>
      <c r="B74" s="188" t="s">
        <v>1260</v>
      </c>
      <c r="C74" s="345"/>
    </row>
    <row r="75" spans="1:18" ht="15" customHeight="1">
      <c r="A75" s="346" t="s">
        <v>11</v>
      </c>
      <c r="B75" s="347" t="s">
        <v>796</v>
      </c>
    </row>
    <row r="76" spans="1:18">
      <c r="A76" s="346" t="s">
        <v>13</v>
      </c>
      <c r="B76" s="188" t="s">
        <v>14</v>
      </c>
    </row>
    <row r="77" spans="1:18">
      <c r="A77" s="346" t="s">
        <v>15</v>
      </c>
      <c r="B77" s="358">
        <f>B82</f>
        <v>12.33</v>
      </c>
    </row>
    <row r="78" spans="1:18">
      <c r="A78" s="346" t="s">
        <v>16</v>
      </c>
      <c r="B78" s="188" t="s">
        <v>17</v>
      </c>
    </row>
    <row r="79" spans="1:18">
      <c r="A79" s="346" t="s">
        <v>18</v>
      </c>
      <c r="B79" s="188" t="s">
        <v>37</v>
      </c>
    </row>
    <row r="80" spans="1:18">
      <c r="A80" s="343" t="s">
        <v>19</v>
      </c>
    </row>
    <row r="81" spans="1:18">
      <c r="A81" s="501" t="s">
        <v>20</v>
      </c>
      <c r="B81" s="344" t="s">
        <v>21</v>
      </c>
      <c r="C81" s="344" t="s">
        <v>18</v>
      </c>
      <c r="D81" s="344" t="s">
        <v>22</v>
      </c>
      <c r="E81" s="344" t="s">
        <v>7</v>
      </c>
      <c r="F81" s="344" t="s">
        <v>13</v>
      </c>
      <c r="G81" s="344" t="s">
        <v>16</v>
      </c>
      <c r="H81" s="344" t="s">
        <v>23</v>
      </c>
      <c r="I81" s="344" t="s">
        <v>24</v>
      </c>
      <c r="J81" s="344" t="s">
        <v>25</v>
      </c>
      <c r="K81" s="344" t="s">
        <v>26</v>
      </c>
      <c r="L81" s="344" t="s">
        <v>27</v>
      </c>
      <c r="M81" s="344" t="s">
        <v>28</v>
      </c>
      <c r="N81" s="344" t="s">
        <v>11</v>
      </c>
    </row>
    <row r="82" spans="1:18">
      <c r="A82" s="88" t="s">
        <v>1258</v>
      </c>
      <c r="B82" s="358">
        <v>12.33</v>
      </c>
      <c r="C82" s="188" t="s">
        <v>37</v>
      </c>
      <c r="D82" s="408" t="s">
        <v>2</v>
      </c>
      <c r="E82" s="188" t="s">
        <v>29</v>
      </c>
      <c r="F82" s="37" t="s">
        <v>14</v>
      </c>
      <c r="G82" s="188" t="s">
        <v>30</v>
      </c>
      <c r="H82" s="188">
        <v>1</v>
      </c>
      <c r="I82" s="358">
        <f>B82</f>
        <v>12.33</v>
      </c>
      <c r="J82" s="188" t="s">
        <v>31</v>
      </c>
      <c r="K82" s="188" t="s">
        <v>31</v>
      </c>
      <c r="L82" s="188" t="s">
        <v>31</v>
      </c>
      <c r="M82" s="188" t="s">
        <v>31</v>
      </c>
      <c r="O82" s="383"/>
      <c r="P82" s="394"/>
      <c r="Q82" s="188" t="s">
        <v>241</v>
      </c>
      <c r="R82" s="392">
        <v>0.01</v>
      </c>
    </row>
    <row r="83" spans="1:18">
      <c r="A83" s="88" t="s">
        <v>653</v>
      </c>
      <c r="B83" s="358">
        <v>12.33</v>
      </c>
      <c r="C83" s="188" t="s">
        <v>37</v>
      </c>
      <c r="D83" s="188" t="s">
        <v>40</v>
      </c>
      <c r="E83" s="188" t="s">
        <v>29</v>
      </c>
      <c r="F83" s="37" t="s">
        <v>59</v>
      </c>
      <c r="G83" s="188" t="s">
        <v>33</v>
      </c>
      <c r="H83" s="188">
        <v>1</v>
      </c>
      <c r="I83" s="358">
        <f t="shared" ref="I83:I84" si="4">B83</f>
        <v>12.33</v>
      </c>
      <c r="J83" s="188" t="s">
        <v>31</v>
      </c>
      <c r="K83" s="188" t="s">
        <v>31</v>
      </c>
      <c r="L83" s="188" t="s">
        <v>31</v>
      </c>
      <c r="M83" s="188" t="s">
        <v>31</v>
      </c>
      <c r="O83" s="383"/>
      <c r="P83" s="440"/>
      <c r="R83" s="350"/>
    </row>
    <row r="84" spans="1:18">
      <c r="A84" s="88" t="s">
        <v>707</v>
      </c>
      <c r="B84" s="358">
        <v>12.33</v>
      </c>
      <c r="C84" s="188" t="s">
        <v>37</v>
      </c>
      <c r="D84" s="188" t="s">
        <v>40</v>
      </c>
      <c r="E84" s="188" t="s">
        <v>29</v>
      </c>
      <c r="F84" s="188" t="s">
        <v>59</v>
      </c>
      <c r="G84" s="188" t="s">
        <v>33</v>
      </c>
      <c r="H84" s="188">
        <v>1</v>
      </c>
      <c r="I84" s="358">
        <f t="shared" si="4"/>
        <v>12.33</v>
      </c>
      <c r="J84" s="188" t="s">
        <v>31</v>
      </c>
      <c r="K84" s="188" t="s">
        <v>31</v>
      </c>
      <c r="L84" s="188" t="s">
        <v>31</v>
      </c>
      <c r="M84" s="188" t="s">
        <v>31</v>
      </c>
      <c r="R84" s="188" t="s">
        <v>1261</v>
      </c>
    </row>
    <row r="85" spans="1:18" s="353" customFormat="1">
      <c r="A85" s="370" t="s">
        <v>5</v>
      </c>
      <c r="B85" s="106" t="s">
        <v>1259</v>
      </c>
      <c r="C85" s="372"/>
    </row>
    <row r="86" spans="1:18">
      <c r="A86" s="346" t="s">
        <v>7</v>
      </c>
      <c r="B86" s="188" t="s">
        <v>786</v>
      </c>
      <c r="C86" s="345"/>
    </row>
    <row r="87" spans="1:18">
      <c r="A87" s="424" t="s">
        <v>9</v>
      </c>
      <c r="B87" s="188" t="s">
        <v>1262</v>
      </c>
      <c r="C87" s="345"/>
    </row>
    <row r="88" spans="1:18" ht="15.75" customHeight="1">
      <c r="A88" s="346" t="s">
        <v>11</v>
      </c>
      <c r="B88" s="347" t="s">
        <v>796</v>
      </c>
    </row>
    <row r="89" spans="1:18">
      <c r="A89" s="346" t="s">
        <v>13</v>
      </c>
      <c r="B89" s="188" t="s">
        <v>14</v>
      </c>
    </row>
    <row r="90" spans="1:18">
      <c r="A90" s="346" t="s">
        <v>15</v>
      </c>
      <c r="B90" s="188">
        <v>1</v>
      </c>
    </row>
    <row r="91" spans="1:18">
      <c r="A91" s="346" t="s">
        <v>16</v>
      </c>
      <c r="B91" s="188" t="s">
        <v>17</v>
      </c>
    </row>
    <row r="92" spans="1:18">
      <c r="A92" s="346" t="s">
        <v>18</v>
      </c>
      <c r="B92" s="188" t="s">
        <v>18</v>
      </c>
    </row>
    <row r="93" spans="1:18">
      <c r="A93" s="343" t="s">
        <v>19</v>
      </c>
    </row>
    <row r="94" spans="1:18">
      <c r="A94" s="343" t="s">
        <v>20</v>
      </c>
      <c r="B94" s="344" t="s">
        <v>21</v>
      </c>
      <c r="C94" s="344" t="s">
        <v>18</v>
      </c>
      <c r="D94" s="344" t="s">
        <v>22</v>
      </c>
      <c r="E94" s="344" t="s">
        <v>7</v>
      </c>
      <c r="F94" s="344" t="s">
        <v>13</v>
      </c>
      <c r="G94" s="344" t="s">
        <v>16</v>
      </c>
      <c r="H94" s="344" t="s">
        <v>23</v>
      </c>
      <c r="I94" s="344" t="s">
        <v>24</v>
      </c>
      <c r="J94" s="344" t="s">
        <v>25</v>
      </c>
      <c r="K94" s="344" t="s">
        <v>26</v>
      </c>
      <c r="L94" s="344" t="s">
        <v>27</v>
      </c>
      <c r="M94" s="344" t="s">
        <v>28</v>
      </c>
      <c r="N94" s="344" t="s">
        <v>11</v>
      </c>
    </row>
    <row r="95" spans="1:18">
      <c r="A95" s="88" t="s">
        <v>1259</v>
      </c>
      <c r="B95" s="350">
        <v>1</v>
      </c>
      <c r="C95" s="188" t="s">
        <v>18</v>
      </c>
      <c r="D95" s="408" t="s">
        <v>2</v>
      </c>
      <c r="E95" s="188" t="s">
        <v>29</v>
      </c>
      <c r="F95" s="37" t="s">
        <v>14</v>
      </c>
      <c r="G95" s="188" t="s">
        <v>30</v>
      </c>
      <c r="H95" s="188">
        <v>1</v>
      </c>
      <c r="I95" s="188">
        <v>1</v>
      </c>
      <c r="J95" s="188" t="s">
        <v>31</v>
      </c>
      <c r="K95" s="188" t="s">
        <v>31</v>
      </c>
      <c r="L95" s="188" t="s">
        <v>31</v>
      </c>
      <c r="M95" s="188" t="s">
        <v>31</v>
      </c>
      <c r="O95" s="383"/>
      <c r="P95" s="440"/>
      <c r="R95" s="350"/>
    </row>
    <row r="96" spans="1:18">
      <c r="A96" s="88" t="s">
        <v>1263</v>
      </c>
      <c r="B96" s="188">
        <v>1</v>
      </c>
      <c r="C96" s="188" t="s">
        <v>18</v>
      </c>
      <c r="D96" s="408" t="s">
        <v>2</v>
      </c>
      <c r="E96" s="188" t="s">
        <v>29</v>
      </c>
      <c r="F96" s="37" t="s">
        <v>14</v>
      </c>
      <c r="G96" s="188" t="s">
        <v>33</v>
      </c>
      <c r="H96" s="188">
        <v>1</v>
      </c>
      <c r="I96" s="188">
        <v>1</v>
      </c>
      <c r="J96" s="188" t="s">
        <v>31</v>
      </c>
      <c r="K96" s="188" t="s">
        <v>31</v>
      </c>
      <c r="L96" s="188" t="s">
        <v>31</v>
      </c>
      <c r="M96" s="188" t="s">
        <v>31</v>
      </c>
      <c r="O96" s="383"/>
      <c r="P96" s="440"/>
    </row>
    <row r="97" spans="1:18">
      <c r="A97" s="346" t="s">
        <v>269</v>
      </c>
      <c r="B97" s="350">
        <f>R97</f>
        <v>0.05</v>
      </c>
      <c r="C97" s="188" t="s">
        <v>39</v>
      </c>
      <c r="D97" s="188" t="s">
        <v>40</v>
      </c>
      <c r="E97" s="188" t="s">
        <v>29</v>
      </c>
      <c r="F97" s="37" t="s">
        <v>35</v>
      </c>
      <c r="G97" s="188" t="s">
        <v>33</v>
      </c>
      <c r="H97" s="188">
        <v>2</v>
      </c>
      <c r="I97" s="188">
        <f t="shared" ref="I97" si="5">LN(B97)</f>
        <v>-2.9957322735539909</v>
      </c>
      <c r="J97" s="188">
        <v>7.2284161474004766E-2</v>
      </c>
      <c r="K97" s="188" t="s">
        <v>31</v>
      </c>
      <c r="L97" s="188" t="s">
        <v>31</v>
      </c>
      <c r="M97" s="188" t="s">
        <v>31</v>
      </c>
      <c r="O97" s="383" t="s">
        <v>248</v>
      </c>
      <c r="P97" s="440">
        <v>0.05</v>
      </c>
      <c r="Q97" s="188" t="s">
        <v>248</v>
      </c>
      <c r="R97" s="350">
        <f>P97</f>
        <v>0.05</v>
      </c>
    </row>
    <row r="98" spans="1:18" s="353" customFormat="1">
      <c r="A98" s="370" t="s">
        <v>5</v>
      </c>
      <c r="B98" s="106" t="s">
        <v>1263</v>
      </c>
      <c r="C98" s="372"/>
    </row>
    <row r="99" spans="1:18">
      <c r="A99" s="346" t="s">
        <v>7</v>
      </c>
      <c r="B99" s="188" t="s">
        <v>786</v>
      </c>
      <c r="C99" s="345"/>
    </row>
    <row r="100" spans="1:18">
      <c r="A100" s="424" t="s">
        <v>9</v>
      </c>
      <c r="B100" s="188" t="s">
        <v>1264</v>
      </c>
      <c r="C100" s="345"/>
    </row>
    <row r="101" spans="1:18" ht="15.75" customHeight="1">
      <c r="A101" s="346" t="s">
        <v>11</v>
      </c>
      <c r="B101" s="347" t="s">
        <v>796</v>
      </c>
    </row>
    <row r="102" spans="1:18">
      <c r="A102" s="346" t="s">
        <v>13</v>
      </c>
      <c r="B102" s="188" t="s">
        <v>14</v>
      </c>
    </row>
    <row r="103" spans="1:18">
      <c r="A103" s="346" t="s">
        <v>15</v>
      </c>
      <c r="B103" s="188">
        <v>1</v>
      </c>
    </row>
    <row r="104" spans="1:18">
      <c r="A104" s="346" t="s">
        <v>16</v>
      </c>
      <c r="B104" s="188" t="s">
        <v>17</v>
      </c>
    </row>
    <row r="105" spans="1:18">
      <c r="A105" s="346" t="s">
        <v>18</v>
      </c>
      <c r="B105" s="188" t="s">
        <v>18</v>
      </c>
    </row>
    <row r="106" spans="1:18">
      <c r="A106" s="343" t="s">
        <v>19</v>
      </c>
    </row>
    <row r="107" spans="1:18">
      <c r="A107" s="343" t="s">
        <v>20</v>
      </c>
      <c r="B107" s="344" t="s">
        <v>21</v>
      </c>
      <c r="C107" s="344" t="s">
        <v>18</v>
      </c>
      <c r="D107" s="344" t="s">
        <v>22</v>
      </c>
      <c r="E107" s="344" t="s">
        <v>7</v>
      </c>
      <c r="F107" s="344" t="s">
        <v>13</v>
      </c>
      <c r="G107" s="344" t="s">
        <v>16</v>
      </c>
      <c r="H107" s="344" t="s">
        <v>23</v>
      </c>
      <c r="I107" s="344" t="s">
        <v>24</v>
      </c>
      <c r="J107" s="344" t="s">
        <v>25</v>
      </c>
      <c r="K107" s="344" t="s">
        <v>26</v>
      </c>
      <c r="L107" s="344" t="s">
        <v>27</v>
      </c>
      <c r="M107" s="344" t="s">
        <v>28</v>
      </c>
      <c r="N107" s="344" t="s">
        <v>11</v>
      </c>
      <c r="Q107" s="375" t="s">
        <v>1184</v>
      </c>
    </row>
    <row r="108" spans="1:18">
      <c r="A108" s="88" t="s">
        <v>1263</v>
      </c>
      <c r="B108" s="188">
        <v>1</v>
      </c>
      <c r="C108" s="188" t="s">
        <v>18</v>
      </c>
      <c r="D108" s="188" t="s">
        <v>2</v>
      </c>
      <c r="E108" s="188" t="s">
        <v>29</v>
      </c>
      <c r="F108" s="37" t="s">
        <v>14</v>
      </c>
      <c r="G108" s="188" t="s">
        <v>30</v>
      </c>
      <c r="H108" s="188">
        <v>1</v>
      </c>
      <c r="I108" s="188">
        <v>1</v>
      </c>
      <c r="J108" s="188" t="s">
        <v>31</v>
      </c>
      <c r="K108" s="188" t="s">
        <v>31</v>
      </c>
      <c r="L108" s="188" t="s">
        <v>31</v>
      </c>
      <c r="M108" s="188" t="s">
        <v>31</v>
      </c>
      <c r="P108" s="468"/>
      <c r="Q108" s="188">
        <f>'2E. Reusable'!O36</f>
        <v>0.14705882352941177</v>
      </c>
      <c r="R108" s="188" t="s">
        <v>838</v>
      </c>
    </row>
    <row r="109" spans="1:18">
      <c r="A109" s="346" t="s">
        <v>1265</v>
      </c>
      <c r="B109" s="441">
        <f>B133</f>
        <v>0.14000000000000001</v>
      </c>
      <c r="C109" s="188" t="s">
        <v>609</v>
      </c>
      <c r="D109" s="188" t="s">
        <v>2</v>
      </c>
      <c r="E109" s="188" t="s">
        <v>29</v>
      </c>
      <c r="F109" s="37" t="s">
        <v>14</v>
      </c>
      <c r="G109" s="188" t="s">
        <v>33</v>
      </c>
      <c r="H109" s="188">
        <v>1</v>
      </c>
      <c r="I109" s="441">
        <f>B109</f>
        <v>0.14000000000000001</v>
      </c>
      <c r="J109" s="188" t="s">
        <v>31</v>
      </c>
      <c r="K109" s="188" t="s">
        <v>31</v>
      </c>
      <c r="L109" s="188" t="s">
        <v>31</v>
      </c>
      <c r="M109" s="188" t="s">
        <v>31</v>
      </c>
      <c r="O109" s="409"/>
      <c r="P109" s="410"/>
      <c r="Q109" s="350"/>
    </row>
    <row r="110" spans="1:18">
      <c r="A110" s="188" t="s">
        <v>1217</v>
      </c>
      <c r="B110" s="392">
        <f>R110</f>
        <v>1.5882352941176472E-2</v>
      </c>
      <c r="C110" s="381" t="s">
        <v>609</v>
      </c>
      <c r="D110" s="188" t="s">
        <v>2</v>
      </c>
      <c r="E110" s="188" t="s">
        <v>29</v>
      </c>
      <c r="F110" s="37" t="s">
        <v>14</v>
      </c>
      <c r="G110" s="188" t="s">
        <v>33</v>
      </c>
      <c r="H110" s="188">
        <v>1</v>
      </c>
      <c r="I110" s="441">
        <f t="shared" ref="I110:I111" si="6">B110</f>
        <v>1.5882352941176472E-2</v>
      </c>
      <c r="J110" s="188" t="s">
        <v>31</v>
      </c>
      <c r="K110" s="188" t="s">
        <v>31</v>
      </c>
      <c r="L110" s="188" t="s">
        <v>31</v>
      </c>
      <c r="M110" s="188" t="s">
        <v>31</v>
      </c>
      <c r="O110" s="442" t="s">
        <v>580</v>
      </c>
      <c r="P110" s="455">
        <v>108</v>
      </c>
      <c r="R110" s="392">
        <f>P110*0.001*Q108</f>
        <v>1.5882352941176472E-2</v>
      </c>
    </row>
    <row r="111" spans="1:18">
      <c r="A111" s="188" t="s">
        <v>1266</v>
      </c>
      <c r="B111" s="188">
        <v>1</v>
      </c>
      <c r="C111" s="188" t="s">
        <v>18</v>
      </c>
      <c r="D111" s="188" t="s">
        <v>2</v>
      </c>
      <c r="E111" s="188" t="s">
        <v>29</v>
      </c>
      <c r="F111" s="37" t="s">
        <v>14</v>
      </c>
      <c r="G111" s="188" t="s">
        <v>33</v>
      </c>
      <c r="H111" s="188">
        <v>1</v>
      </c>
      <c r="I111" s="441">
        <f t="shared" si="6"/>
        <v>1</v>
      </c>
      <c r="J111" s="188" t="s">
        <v>31</v>
      </c>
      <c r="K111" s="188" t="s">
        <v>31</v>
      </c>
      <c r="L111" s="188" t="s">
        <v>31</v>
      </c>
      <c r="M111" s="188" t="s">
        <v>31</v>
      </c>
      <c r="O111" s="409"/>
      <c r="P111" s="410"/>
    </row>
    <row r="112" spans="1:18" ht="14.45">
      <c r="A112" s="88" t="s">
        <v>179</v>
      </c>
      <c r="B112" s="392">
        <f>R112</f>
        <v>6.2E-4</v>
      </c>
      <c r="C112" s="188" t="s">
        <v>37</v>
      </c>
      <c r="D112" s="188" t="s">
        <v>40</v>
      </c>
      <c r="E112" s="188" t="s">
        <v>29</v>
      </c>
      <c r="F112" s="37" t="s">
        <v>35</v>
      </c>
      <c r="G112" s="188" t="s">
        <v>33</v>
      </c>
      <c r="H112" s="188">
        <v>2</v>
      </c>
      <c r="I112" s="188">
        <f>LN(B112)</f>
        <v>-7.3857910799251369</v>
      </c>
      <c r="J112" s="188">
        <v>2.8722813232690055E-2</v>
      </c>
      <c r="K112" s="188" t="s">
        <v>31</v>
      </c>
      <c r="L112" s="188" t="s">
        <v>31</v>
      </c>
      <c r="M112" s="188" t="s">
        <v>31</v>
      </c>
      <c r="O112" s="442" t="s">
        <v>580</v>
      </c>
      <c r="P112" s="151">
        <v>0.62</v>
      </c>
      <c r="Q112" s="188" t="s">
        <v>241</v>
      </c>
      <c r="R112" s="392">
        <f>P112*10^-3</f>
        <v>6.2E-4</v>
      </c>
    </row>
    <row r="113" spans="1:18" s="353" customFormat="1">
      <c r="A113" s="370" t="s">
        <v>5</v>
      </c>
      <c r="B113" s="371" t="s">
        <v>1266</v>
      </c>
      <c r="C113" s="372"/>
    </row>
    <row r="114" spans="1:18">
      <c r="A114" s="346" t="s">
        <v>7</v>
      </c>
      <c r="B114" s="188" t="s">
        <v>786</v>
      </c>
      <c r="C114" s="345"/>
    </row>
    <row r="115" spans="1:18">
      <c r="A115" s="424" t="s">
        <v>9</v>
      </c>
      <c r="B115" s="188" t="s">
        <v>1267</v>
      </c>
      <c r="C115" s="345"/>
    </row>
    <row r="116" spans="1:18" ht="15.75" customHeight="1">
      <c r="A116" s="346" t="s">
        <v>11</v>
      </c>
      <c r="B116" s="347" t="s">
        <v>796</v>
      </c>
    </row>
    <row r="117" spans="1:18">
      <c r="A117" s="346" t="s">
        <v>13</v>
      </c>
      <c r="B117" s="188" t="s">
        <v>14</v>
      </c>
    </row>
    <row r="118" spans="1:18">
      <c r="A118" s="346" t="s">
        <v>15</v>
      </c>
      <c r="B118" s="188">
        <v>1</v>
      </c>
    </row>
    <row r="119" spans="1:18">
      <c r="A119" s="346" t="s">
        <v>16</v>
      </c>
      <c r="B119" s="188" t="s">
        <v>17</v>
      </c>
    </row>
    <row r="120" spans="1:18">
      <c r="A120" s="346" t="s">
        <v>18</v>
      </c>
      <c r="B120" s="188" t="s">
        <v>18</v>
      </c>
    </row>
    <row r="121" spans="1:18">
      <c r="A121" s="343" t="s">
        <v>19</v>
      </c>
    </row>
    <row r="122" spans="1:18">
      <c r="A122" s="343" t="s">
        <v>20</v>
      </c>
      <c r="B122" s="344" t="s">
        <v>21</v>
      </c>
      <c r="C122" s="344" t="s">
        <v>18</v>
      </c>
      <c r="D122" s="344" t="s">
        <v>22</v>
      </c>
      <c r="E122" s="344" t="s">
        <v>7</v>
      </c>
      <c r="F122" s="344" t="s">
        <v>13</v>
      </c>
      <c r="G122" s="344" t="s">
        <v>16</v>
      </c>
      <c r="H122" s="344" t="s">
        <v>23</v>
      </c>
      <c r="I122" s="344" t="s">
        <v>24</v>
      </c>
      <c r="J122" s="344" t="s">
        <v>25</v>
      </c>
      <c r="K122" s="344" t="s">
        <v>26</v>
      </c>
      <c r="L122" s="344" t="s">
        <v>27</v>
      </c>
      <c r="M122" s="344" t="s">
        <v>28</v>
      </c>
      <c r="N122" s="344" t="s">
        <v>11</v>
      </c>
    </row>
    <row r="123" spans="1:18">
      <c r="A123" s="188" t="s">
        <v>1266</v>
      </c>
      <c r="B123" s="188">
        <v>1</v>
      </c>
      <c r="C123" s="188" t="s">
        <v>18</v>
      </c>
      <c r="D123" s="408" t="s">
        <v>2</v>
      </c>
      <c r="E123" s="188" t="s">
        <v>29</v>
      </c>
      <c r="F123" s="37" t="s">
        <v>14</v>
      </c>
      <c r="G123" s="188" t="s">
        <v>30</v>
      </c>
      <c r="H123" s="188">
        <v>1</v>
      </c>
      <c r="I123" s="188">
        <v>1</v>
      </c>
      <c r="J123" s="188" t="s">
        <v>31</v>
      </c>
      <c r="K123" s="188" t="s">
        <v>31</v>
      </c>
      <c r="L123" s="188" t="s">
        <v>31</v>
      </c>
      <c r="M123" s="188" t="s">
        <v>31</v>
      </c>
    </row>
    <row r="124" spans="1:18">
      <c r="A124" s="88" t="s">
        <v>614</v>
      </c>
      <c r="B124" s="188">
        <f>R124</f>
        <v>1.21</v>
      </c>
      <c r="C124" s="188" t="s">
        <v>37</v>
      </c>
      <c r="D124" s="188" t="s">
        <v>40</v>
      </c>
      <c r="E124" s="188" t="s">
        <v>29</v>
      </c>
      <c r="F124" s="188" t="s">
        <v>59</v>
      </c>
      <c r="G124" s="188" t="s">
        <v>33</v>
      </c>
      <c r="H124" s="188">
        <v>1</v>
      </c>
      <c r="I124" s="188">
        <f>B124</f>
        <v>1.21</v>
      </c>
      <c r="J124" s="188" t="s">
        <v>31</v>
      </c>
      <c r="K124" s="188" t="s">
        <v>31</v>
      </c>
      <c r="L124" s="188" t="s">
        <v>31</v>
      </c>
      <c r="M124" s="188" t="s">
        <v>31</v>
      </c>
      <c r="P124" s="188">
        <v>1.21</v>
      </c>
      <c r="Q124" s="188" t="s">
        <v>241</v>
      </c>
      <c r="R124" s="188">
        <f>P124</f>
        <v>1.21</v>
      </c>
    </row>
    <row r="125" spans="1:18" ht="14.45">
      <c r="A125" s="88" t="s">
        <v>913</v>
      </c>
      <c r="B125" s="188">
        <f t="shared" ref="B125:B127" si="7">R125</f>
        <v>0.79800000000000004</v>
      </c>
      <c r="C125" s="188" t="s">
        <v>37</v>
      </c>
      <c r="D125" s="188" t="s">
        <v>40</v>
      </c>
      <c r="E125" s="188" t="s">
        <v>29</v>
      </c>
      <c r="F125" s="188" t="s">
        <v>59</v>
      </c>
      <c r="G125" s="188" t="s">
        <v>33</v>
      </c>
      <c r="H125" s="188">
        <v>2</v>
      </c>
      <c r="I125" s="188">
        <f>LN(B125)</f>
        <v>-0.22564668153232822</v>
      </c>
      <c r="J125" s="188">
        <v>3.7749172176353707E-2</v>
      </c>
      <c r="K125" s="188" t="s">
        <v>31</v>
      </c>
      <c r="L125" s="188" t="s">
        <v>31</v>
      </c>
      <c r="M125" s="188" t="s">
        <v>31</v>
      </c>
      <c r="O125" s="401" t="s">
        <v>580</v>
      </c>
      <c r="P125" s="138">
        <v>798</v>
      </c>
      <c r="Q125" s="188" t="s">
        <v>241</v>
      </c>
      <c r="R125" s="188">
        <f>P125*0.001</f>
        <v>0.79800000000000004</v>
      </c>
    </row>
    <row r="126" spans="1:18" ht="14.45">
      <c r="A126" s="88" t="s">
        <v>914</v>
      </c>
      <c r="B126" s="188">
        <f t="shared" si="7"/>
        <v>4.7600000000000003E-2</v>
      </c>
      <c r="C126" s="188" t="s">
        <v>37</v>
      </c>
      <c r="D126" s="188" t="s">
        <v>40</v>
      </c>
      <c r="E126" s="188" t="s">
        <v>29</v>
      </c>
      <c r="F126" s="188" t="s">
        <v>59</v>
      </c>
      <c r="G126" s="188" t="s">
        <v>33</v>
      </c>
      <c r="H126" s="188">
        <v>2</v>
      </c>
      <c r="I126" s="188">
        <f>LN(B126)</f>
        <v>-3.0449225177447627</v>
      </c>
      <c r="J126" s="188">
        <v>3.7749172176353707E-2</v>
      </c>
      <c r="K126" s="188" t="s">
        <v>31</v>
      </c>
      <c r="L126" s="188" t="s">
        <v>31</v>
      </c>
      <c r="M126" s="188" t="s">
        <v>31</v>
      </c>
      <c r="O126" s="401" t="s">
        <v>580</v>
      </c>
      <c r="P126" s="138">
        <v>47.6</v>
      </c>
      <c r="Q126" s="188" t="s">
        <v>241</v>
      </c>
      <c r="R126" s="188">
        <f t="shared" ref="R126:R127" si="8">P126*0.001</f>
        <v>4.7600000000000003E-2</v>
      </c>
    </row>
    <row r="127" spans="1:18" ht="14.45">
      <c r="A127" s="88" t="s">
        <v>915</v>
      </c>
      <c r="B127" s="188">
        <f t="shared" si="7"/>
        <v>0.36</v>
      </c>
      <c r="C127" s="188" t="s">
        <v>37</v>
      </c>
      <c r="D127" s="188" t="s">
        <v>40</v>
      </c>
      <c r="E127" s="188" t="s">
        <v>29</v>
      </c>
      <c r="F127" s="188" t="s">
        <v>59</v>
      </c>
      <c r="G127" s="188" t="s">
        <v>33</v>
      </c>
      <c r="H127" s="188">
        <v>2</v>
      </c>
      <c r="I127" s="188">
        <f>LN(B127)</f>
        <v>-1.0216512475319814</v>
      </c>
      <c r="J127" s="188">
        <v>3.7749172176353707E-2</v>
      </c>
      <c r="K127" s="188" t="s">
        <v>31</v>
      </c>
      <c r="L127" s="188" t="s">
        <v>31</v>
      </c>
      <c r="M127" s="188" t="s">
        <v>31</v>
      </c>
      <c r="O127" s="401" t="s">
        <v>580</v>
      </c>
      <c r="P127" s="138">
        <v>360</v>
      </c>
      <c r="Q127" s="188" t="s">
        <v>241</v>
      </c>
      <c r="R127" s="188">
        <f t="shared" si="8"/>
        <v>0.36</v>
      </c>
    </row>
    <row r="128" spans="1:18" s="353" customFormat="1">
      <c r="A128" s="370" t="s">
        <v>5</v>
      </c>
      <c r="B128" s="106" t="s">
        <v>1265</v>
      </c>
      <c r="C128" s="372"/>
    </row>
    <row r="129" spans="1:18">
      <c r="A129" s="346" t="s">
        <v>7</v>
      </c>
      <c r="B129" s="188" t="s">
        <v>786</v>
      </c>
      <c r="C129" s="345"/>
    </row>
    <row r="130" spans="1:18">
      <c r="A130" s="424" t="s">
        <v>9</v>
      </c>
      <c r="B130" s="188" t="s">
        <v>1268</v>
      </c>
      <c r="C130" s="345"/>
    </row>
    <row r="131" spans="1:18" ht="15.75" customHeight="1">
      <c r="A131" s="346" t="s">
        <v>11</v>
      </c>
      <c r="B131" s="347" t="s">
        <v>796</v>
      </c>
    </row>
    <row r="132" spans="1:18">
      <c r="A132" s="346" t="s">
        <v>13</v>
      </c>
      <c r="B132" s="188" t="s">
        <v>14</v>
      </c>
    </row>
    <row r="133" spans="1:18">
      <c r="A133" s="346" t="s">
        <v>15</v>
      </c>
      <c r="B133" s="425">
        <f>B138</f>
        <v>0.14000000000000001</v>
      </c>
    </row>
    <row r="134" spans="1:18">
      <c r="A134" s="346" t="s">
        <v>16</v>
      </c>
      <c r="B134" s="188" t="s">
        <v>17</v>
      </c>
    </row>
    <row r="135" spans="1:18">
      <c r="A135" s="346" t="s">
        <v>18</v>
      </c>
      <c r="B135" s="188" t="s">
        <v>609</v>
      </c>
    </row>
    <row r="136" spans="1:18">
      <c r="A136" s="343" t="s">
        <v>19</v>
      </c>
    </row>
    <row r="137" spans="1:18">
      <c r="A137" s="344" t="s">
        <v>20</v>
      </c>
      <c r="B137" s="344" t="s">
        <v>21</v>
      </c>
      <c r="C137" s="344" t="s">
        <v>18</v>
      </c>
      <c r="D137" s="344" t="s">
        <v>22</v>
      </c>
      <c r="E137" s="344" t="s">
        <v>7</v>
      </c>
      <c r="F137" s="344" t="s">
        <v>13</v>
      </c>
      <c r="G137" s="344" t="s">
        <v>16</v>
      </c>
      <c r="H137" s="344" t="s">
        <v>23</v>
      </c>
      <c r="I137" s="344" t="s">
        <v>24</v>
      </c>
      <c r="J137" s="344" t="s">
        <v>25</v>
      </c>
      <c r="K137" s="344" t="s">
        <v>26</v>
      </c>
      <c r="L137" s="344" t="s">
        <v>27</v>
      </c>
      <c r="M137" s="344" t="s">
        <v>28</v>
      </c>
      <c r="N137" s="344" t="s">
        <v>11</v>
      </c>
    </row>
    <row r="138" spans="1:18" ht="14.45">
      <c r="A138" s="188" t="s">
        <v>1265</v>
      </c>
      <c r="B138" s="425">
        <f>P138</f>
        <v>0.14000000000000001</v>
      </c>
      <c r="C138" s="188" t="s">
        <v>609</v>
      </c>
      <c r="D138" s="408" t="s">
        <v>2</v>
      </c>
      <c r="E138" s="188" t="s">
        <v>29</v>
      </c>
      <c r="F138" s="37" t="s">
        <v>14</v>
      </c>
      <c r="G138" s="188" t="s">
        <v>30</v>
      </c>
      <c r="H138" s="188">
        <v>1</v>
      </c>
      <c r="I138" s="441">
        <f>B138</f>
        <v>0.14000000000000001</v>
      </c>
      <c r="J138" s="188" t="s">
        <v>31</v>
      </c>
      <c r="K138" s="188" t="s">
        <v>31</v>
      </c>
      <c r="L138" s="188" t="s">
        <v>31</v>
      </c>
      <c r="M138" s="188" t="s">
        <v>31</v>
      </c>
      <c r="O138" s="409"/>
      <c r="P138" s="486">
        <v>0.14000000000000001</v>
      </c>
      <c r="Q138" s="350"/>
    </row>
    <row r="139" spans="1:18" ht="14.45">
      <c r="A139" s="192" t="s">
        <v>1269</v>
      </c>
      <c r="B139" s="425">
        <f>P139</f>
        <v>0.14000000000000001</v>
      </c>
      <c r="C139" s="188" t="s">
        <v>609</v>
      </c>
      <c r="D139" s="408" t="s">
        <v>2</v>
      </c>
      <c r="E139" s="188" t="s">
        <v>29</v>
      </c>
      <c r="F139" s="37" t="s">
        <v>14</v>
      </c>
      <c r="G139" s="188" t="s">
        <v>33</v>
      </c>
      <c r="H139" s="188">
        <v>1</v>
      </c>
      <c r="I139" s="441">
        <f>B139</f>
        <v>0.14000000000000001</v>
      </c>
      <c r="J139" s="188" t="s">
        <v>31</v>
      </c>
      <c r="K139" s="188" t="s">
        <v>31</v>
      </c>
      <c r="L139" s="188" t="s">
        <v>31</v>
      </c>
      <c r="M139" s="188" t="s">
        <v>31</v>
      </c>
      <c r="P139" s="486">
        <v>0.14000000000000001</v>
      </c>
    </row>
    <row r="140" spans="1:18">
      <c r="A140" s="88" t="s">
        <v>680</v>
      </c>
      <c r="B140" s="188">
        <f>R140</f>
        <v>3.3300000000000001E-3</v>
      </c>
      <c r="C140" s="188" t="s">
        <v>37</v>
      </c>
      <c r="D140" s="188" t="s">
        <v>40</v>
      </c>
      <c r="E140" s="188" t="s">
        <v>29</v>
      </c>
      <c r="F140" s="188" t="s">
        <v>35</v>
      </c>
      <c r="G140" s="188" t="s">
        <v>33</v>
      </c>
      <c r="H140" s="188">
        <v>2</v>
      </c>
      <c r="I140" s="188">
        <f>LN(B140)</f>
        <v>-5.7047829749897847</v>
      </c>
      <c r="J140" s="188">
        <v>0.20928449536456342</v>
      </c>
      <c r="K140" s="188" t="s">
        <v>31</v>
      </c>
      <c r="L140" s="188" t="s">
        <v>31</v>
      </c>
      <c r="M140" s="188" t="s">
        <v>31</v>
      </c>
      <c r="O140" s="401" t="s">
        <v>580</v>
      </c>
      <c r="P140" s="414">
        <v>3.33</v>
      </c>
      <c r="Q140" s="188" t="s">
        <v>241</v>
      </c>
      <c r="R140" s="188">
        <f>0.001*P140</f>
        <v>3.3300000000000001E-3</v>
      </c>
    </row>
    <row r="141" spans="1:18">
      <c r="A141" s="88" t="s">
        <v>545</v>
      </c>
      <c r="B141" s="188">
        <f>R141</f>
        <v>8.8999999999999999E-3</v>
      </c>
      <c r="C141" s="188" t="s">
        <v>37</v>
      </c>
      <c r="D141" s="188" t="s">
        <v>40</v>
      </c>
      <c r="E141" s="188" t="s">
        <v>29</v>
      </c>
      <c r="F141" s="188" t="s">
        <v>35</v>
      </c>
      <c r="G141" s="188" t="s">
        <v>33</v>
      </c>
      <c r="H141" s="188">
        <v>2</v>
      </c>
      <c r="I141" s="188">
        <f>LN(B141)</f>
        <v>-4.7217040022440431</v>
      </c>
      <c r="J141" s="188">
        <v>0.20928449536456342</v>
      </c>
      <c r="K141" s="188" t="s">
        <v>31</v>
      </c>
      <c r="L141" s="188" t="s">
        <v>31</v>
      </c>
      <c r="M141" s="188" t="s">
        <v>31</v>
      </c>
      <c r="O141" s="401" t="s">
        <v>580</v>
      </c>
      <c r="P141" s="414">
        <v>8.9</v>
      </c>
      <c r="Q141" s="188" t="s">
        <v>241</v>
      </c>
      <c r="R141" s="188">
        <f>0.001*P141</f>
        <v>8.8999999999999999E-3</v>
      </c>
    </row>
    <row r="142" spans="1:18" s="353" customFormat="1">
      <c r="A142" s="370" t="s">
        <v>5</v>
      </c>
      <c r="B142" s="446" t="s">
        <v>1269</v>
      </c>
      <c r="C142" s="372"/>
    </row>
    <row r="143" spans="1:18">
      <c r="A143" s="346" t="s">
        <v>7</v>
      </c>
      <c r="B143" s="188" t="s">
        <v>786</v>
      </c>
      <c r="C143" s="345"/>
    </row>
    <row r="144" spans="1:18">
      <c r="A144" s="424" t="s">
        <v>9</v>
      </c>
      <c r="B144" s="188" t="s">
        <v>1270</v>
      </c>
      <c r="C144" s="345"/>
    </row>
    <row r="145" spans="1:18" ht="15.75" customHeight="1">
      <c r="A145" s="346" t="s">
        <v>11</v>
      </c>
      <c r="B145" s="347" t="s">
        <v>796</v>
      </c>
    </row>
    <row r="146" spans="1:18">
      <c r="A146" s="346" t="s">
        <v>13</v>
      </c>
      <c r="B146" s="188" t="s">
        <v>14</v>
      </c>
    </row>
    <row r="147" spans="1:18">
      <c r="A147" s="346" t="s">
        <v>15</v>
      </c>
      <c r="B147" s="425">
        <f>B152</f>
        <v>9.0999999999999998E-2</v>
      </c>
    </row>
    <row r="148" spans="1:18">
      <c r="A148" s="346" t="s">
        <v>16</v>
      </c>
      <c r="B148" s="188" t="s">
        <v>17</v>
      </c>
    </row>
    <row r="149" spans="1:18">
      <c r="A149" s="346" t="s">
        <v>18</v>
      </c>
      <c r="B149" s="188" t="s">
        <v>609</v>
      </c>
    </row>
    <row r="150" spans="1:18">
      <c r="A150" s="343" t="s">
        <v>19</v>
      </c>
    </row>
    <row r="151" spans="1:18">
      <c r="A151" s="344" t="s">
        <v>20</v>
      </c>
      <c r="B151" s="344" t="s">
        <v>21</v>
      </c>
      <c r="C151" s="344" t="s">
        <v>18</v>
      </c>
      <c r="D151" s="344" t="s">
        <v>22</v>
      </c>
      <c r="E151" s="344" t="s">
        <v>7</v>
      </c>
      <c r="F151" s="344" t="s">
        <v>13</v>
      </c>
      <c r="G151" s="344" t="s">
        <v>16</v>
      </c>
      <c r="H151" s="344" t="s">
        <v>23</v>
      </c>
      <c r="I151" s="344" t="s">
        <v>24</v>
      </c>
      <c r="J151" s="344" t="s">
        <v>25</v>
      </c>
      <c r="K151" s="344" t="s">
        <v>26</v>
      </c>
      <c r="L151" s="344" t="s">
        <v>27</v>
      </c>
      <c r="M151" s="344" t="s">
        <v>28</v>
      </c>
      <c r="N151" s="344" t="s">
        <v>11</v>
      </c>
    </row>
    <row r="152" spans="1:18" ht="14.45">
      <c r="A152" s="192" t="s">
        <v>1269</v>
      </c>
      <c r="B152" s="445">
        <f>P152</f>
        <v>9.0999999999999998E-2</v>
      </c>
      <c r="C152" s="188" t="s">
        <v>609</v>
      </c>
      <c r="D152" s="408" t="s">
        <v>2</v>
      </c>
      <c r="E152" s="188" t="s">
        <v>29</v>
      </c>
      <c r="F152" s="37" t="s">
        <v>14</v>
      </c>
      <c r="G152" s="188" t="s">
        <v>30</v>
      </c>
      <c r="H152" s="188">
        <v>1</v>
      </c>
      <c r="I152" s="441">
        <f>B152</f>
        <v>9.0999999999999998E-2</v>
      </c>
      <c r="J152" s="188" t="s">
        <v>31</v>
      </c>
      <c r="K152" s="188" t="s">
        <v>31</v>
      </c>
      <c r="L152" s="188" t="s">
        <v>31</v>
      </c>
      <c r="M152" s="188" t="s">
        <v>31</v>
      </c>
      <c r="O152" s="471" t="s">
        <v>610</v>
      </c>
      <c r="P152" s="486">
        <v>9.0999999999999998E-2</v>
      </c>
    </row>
    <row r="153" spans="1:18" ht="14.45">
      <c r="A153" s="188" t="s">
        <v>1271</v>
      </c>
      <c r="B153" s="445">
        <f t="shared" ref="B153:B156" si="9">P153</f>
        <v>2.8000000000000001E-2</v>
      </c>
      <c r="C153" s="188" t="s">
        <v>609</v>
      </c>
      <c r="D153" s="408" t="s">
        <v>2</v>
      </c>
      <c r="E153" s="188" t="s">
        <v>29</v>
      </c>
      <c r="F153" s="37" t="s">
        <v>14</v>
      </c>
      <c r="G153" s="188" t="s">
        <v>33</v>
      </c>
      <c r="H153" s="188">
        <v>1</v>
      </c>
      <c r="I153" s="441">
        <f t="shared" ref="I153:I154" si="10">B153</f>
        <v>2.8000000000000001E-2</v>
      </c>
      <c r="J153" s="188" t="s">
        <v>31</v>
      </c>
      <c r="K153" s="188" t="s">
        <v>31</v>
      </c>
      <c r="L153" s="188" t="s">
        <v>31</v>
      </c>
      <c r="M153" s="188" t="s">
        <v>31</v>
      </c>
      <c r="O153" s="471" t="s">
        <v>823</v>
      </c>
      <c r="P153" s="502">
        <v>2.8000000000000001E-2</v>
      </c>
    </row>
    <row r="154" spans="1:18" ht="14.45">
      <c r="A154" s="188" t="s">
        <v>1272</v>
      </c>
      <c r="B154" s="445">
        <f t="shared" si="9"/>
        <v>9.0999999999999998E-2</v>
      </c>
      <c r="C154" s="188" t="s">
        <v>609</v>
      </c>
      <c r="D154" s="408" t="s">
        <v>2</v>
      </c>
      <c r="E154" s="188" t="s">
        <v>29</v>
      </c>
      <c r="F154" s="37" t="s">
        <v>14</v>
      </c>
      <c r="G154" s="188" t="s">
        <v>33</v>
      </c>
      <c r="H154" s="188">
        <v>1</v>
      </c>
      <c r="I154" s="441">
        <f t="shared" si="10"/>
        <v>9.0999999999999998E-2</v>
      </c>
      <c r="J154" s="188" t="s">
        <v>31</v>
      </c>
      <c r="K154" s="188" t="s">
        <v>31</v>
      </c>
      <c r="L154" s="188" t="s">
        <v>31</v>
      </c>
      <c r="M154" s="188" t="s">
        <v>31</v>
      </c>
      <c r="O154" s="400" t="s">
        <v>823</v>
      </c>
      <c r="P154" s="486">
        <v>9.0999999999999998E-2</v>
      </c>
    </row>
    <row r="155" spans="1:18">
      <c r="A155" s="346" t="s">
        <v>269</v>
      </c>
      <c r="B155" s="445">
        <f t="shared" si="9"/>
        <v>2.1800000000000002</v>
      </c>
      <c r="C155" s="188" t="s">
        <v>39</v>
      </c>
      <c r="D155" s="188" t="s">
        <v>40</v>
      </c>
      <c r="E155" s="188" t="s">
        <v>29</v>
      </c>
      <c r="F155" s="37" t="s">
        <v>35</v>
      </c>
      <c r="G155" s="188" t="s">
        <v>33</v>
      </c>
      <c r="H155" s="188">
        <v>2</v>
      </c>
      <c r="I155" s="188">
        <f t="shared" ref="I155:I156" si="11">LN(B155)</f>
        <v>0.77932487680099771</v>
      </c>
      <c r="J155" s="188">
        <v>9.7082439194738052E-2</v>
      </c>
      <c r="K155" s="188" t="s">
        <v>31</v>
      </c>
      <c r="L155" s="188" t="s">
        <v>31</v>
      </c>
      <c r="M155" s="188" t="s">
        <v>31</v>
      </c>
      <c r="O155" s="401" t="s">
        <v>248</v>
      </c>
      <c r="P155" s="414">
        <v>2.1800000000000002</v>
      </c>
      <c r="Q155" s="188" t="s">
        <v>248</v>
      </c>
      <c r="R155" s="350">
        <f>P155</f>
        <v>2.1800000000000002</v>
      </c>
    </row>
    <row r="156" spans="1:18">
      <c r="A156" s="346" t="s">
        <v>202</v>
      </c>
      <c r="B156" s="445">
        <f t="shared" si="9"/>
        <v>5.8</v>
      </c>
      <c r="C156" s="188" t="s">
        <v>37</v>
      </c>
      <c r="D156" s="188" t="s">
        <v>40</v>
      </c>
      <c r="E156" s="188" t="s">
        <v>29</v>
      </c>
      <c r="F156" s="37" t="s">
        <v>35</v>
      </c>
      <c r="G156" s="188" t="s">
        <v>33</v>
      </c>
      <c r="H156" s="188">
        <v>2</v>
      </c>
      <c r="I156" s="188">
        <f t="shared" si="11"/>
        <v>1.7578579175523736</v>
      </c>
      <c r="J156" s="188">
        <v>9.7082439194738052E-2</v>
      </c>
      <c r="K156" s="188" t="s">
        <v>31</v>
      </c>
      <c r="L156" s="188" t="s">
        <v>31</v>
      </c>
      <c r="M156" s="188" t="s">
        <v>31</v>
      </c>
      <c r="O156" s="401" t="s">
        <v>241</v>
      </c>
      <c r="P156" s="414">
        <v>5.8</v>
      </c>
    </row>
    <row r="157" spans="1:18" s="353" customFormat="1">
      <c r="A157" s="370" t="s">
        <v>5</v>
      </c>
      <c r="B157" s="371" t="s">
        <v>1272</v>
      </c>
      <c r="C157" s="372"/>
    </row>
    <row r="158" spans="1:18">
      <c r="A158" s="346" t="s">
        <v>7</v>
      </c>
      <c r="B158" s="188" t="s">
        <v>786</v>
      </c>
      <c r="C158" s="345"/>
    </row>
    <row r="159" spans="1:18">
      <c r="A159" s="424" t="s">
        <v>9</v>
      </c>
      <c r="B159" s="188" t="s">
        <v>1273</v>
      </c>
      <c r="C159" s="345"/>
    </row>
    <row r="160" spans="1:18" ht="15.75" customHeight="1">
      <c r="A160" s="346" t="s">
        <v>11</v>
      </c>
      <c r="B160" s="347" t="s">
        <v>796</v>
      </c>
    </row>
    <row r="161" spans="1:18">
      <c r="A161" s="346" t="s">
        <v>13</v>
      </c>
      <c r="B161" s="188" t="s">
        <v>14</v>
      </c>
    </row>
    <row r="162" spans="1:18">
      <c r="A162" s="346" t="s">
        <v>15</v>
      </c>
      <c r="B162" s="445">
        <f>B167</f>
        <v>0.14000000000000001</v>
      </c>
    </row>
    <row r="163" spans="1:18">
      <c r="A163" s="346" t="s">
        <v>16</v>
      </c>
      <c r="B163" s="188" t="s">
        <v>17</v>
      </c>
    </row>
    <row r="164" spans="1:18">
      <c r="A164" s="346" t="s">
        <v>18</v>
      </c>
      <c r="B164" s="188" t="s">
        <v>609</v>
      </c>
    </row>
    <row r="165" spans="1:18">
      <c r="A165" s="343" t="s">
        <v>19</v>
      </c>
    </row>
    <row r="166" spans="1:18">
      <c r="A166" s="344" t="s">
        <v>20</v>
      </c>
      <c r="B166" s="344" t="s">
        <v>21</v>
      </c>
      <c r="C166" s="344" t="s">
        <v>18</v>
      </c>
      <c r="D166" s="344" t="s">
        <v>22</v>
      </c>
      <c r="E166" s="344" t="s">
        <v>7</v>
      </c>
      <c r="F166" s="344" t="s">
        <v>13</v>
      </c>
      <c r="G166" s="344" t="s">
        <v>16</v>
      </c>
      <c r="H166" s="344" t="s">
        <v>23</v>
      </c>
      <c r="I166" s="344" t="s">
        <v>24</v>
      </c>
      <c r="J166" s="344" t="s">
        <v>25</v>
      </c>
      <c r="K166" s="344" t="s">
        <v>26</v>
      </c>
      <c r="L166" s="344" t="s">
        <v>27</v>
      </c>
      <c r="M166" s="344" t="s">
        <v>28</v>
      </c>
      <c r="N166" s="344" t="s">
        <v>11</v>
      </c>
    </row>
    <row r="167" spans="1:18">
      <c r="A167" s="188" t="s">
        <v>1272</v>
      </c>
      <c r="B167" s="415">
        <f>P167</f>
        <v>0.14000000000000001</v>
      </c>
      <c r="C167" s="188" t="s">
        <v>609</v>
      </c>
      <c r="D167" s="408" t="s">
        <v>2</v>
      </c>
      <c r="E167" s="188" t="s">
        <v>29</v>
      </c>
      <c r="F167" s="37" t="s">
        <v>14</v>
      </c>
      <c r="G167" s="188" t="s">
        <v>30</v>
      </c>
      <c r="H167" s="188">
        <v>1</v>
      </c>
      <c r="I167" s="415">
        <f>B167</f>
        <v>0.14000000000000001</v>
      </c>
      <c r="J167" s="188" t="s">
        <v>31</v>
      </c>
      <c r="K167" s="188" t="s">
        <v>31</v>
      </c>
      <c r="L167" s="188" t="s">
        <v>31</v>
      </c>
      <c r="M167" s="188" t="s">
        <v>31</v>
      </c>
      <c r="P167" s="454">
        <v>0.14000000000000001</v>
      </c>
    </row>
    <row r="168" spans="1:18">
      <c r="A168" s="192" t="s">
        <v>1274</v>
      </c>
      <c r="B168" s="415">
        <f>P168</f>
        <v>0.14000000000000001</v>
      </c>
      <c r="C168" s="188" t="s">
        <v>609</v>
      </c>
      <c r="D168" s="408" t="s">
        <v>2</v>
      </c>
      <c r="E168" s="188" t="s">
        <v>29</v>
      </c>
      <c r="F168" s="37" t="s">
        <v>14</v>
      </c>
      <c r="G168" s="188" t="s">
        <v>33</v>
      </c>
      <c r="H168" s="188">
        <v>1</v>
      </c>
      <c r="I168" s="415">
        <f>B168</f>
        <v>0.14000000000000001</v>
      </c>
      <c r="J168" s="188" t="s">
        <v>31</v>
      </c>
      <c r="K168" s="188" t="s">
        <v>31</v>
      </c>
      <c r="L168" s="188" t="s">
        <v>31</v>
      </c>
      <c r="M168" s="188" t="s">
        <v>31</v>
      </c>
      <c r="P168" s="454">
        <v>0.14000000000000001</v>
      </c>
    </row>
    <row r="169" spans="1:18">
      <c r="A169" s="346" t="s">
        <v>269</v>
      </c>
      <c r="B169" s="350">
        <f>R169</f>
        <v>0.38</v>
      </c>
      <c r="C169" s="188" t="s">
        <v>39</v>
      </c>
      <c r="D169" s="188" t="s">
        <v>40</v>
      </c>
      <c r="E169" s="188" t="s">
        <v>29</v>
      </c>
      <c r="F169" s="37" t="s">
        <v>35</v>
      </c>
      <c r="G169" s="188" t="s">
        <v>33</v>
      </c>
      <c r="H169" s="188">
        <v>2</v>
      </c>
      <c r="I169" s="188">
        <f t="shared" ref="I169:I173" si="12">LN(B169)</f>
        <v>-0.96758402626170559</v>
      </c>
      <c r="J169" s="188">
        <v>0.20928449536456342</v>
      </c>
      <c r="K169" s="188" t="s">
        <v>31</v>
      </c>
      <c r="L169" s="188" t="s">
        <v>31</v>
      </c>
      <c r="M169" s="188" t="s">
        <v>31</v>
      </c>
      <c r="O169" s="383" t="s">
        <v>248</v>
      </c>
      <c r="P169" s="414">
        <v>0.38</v>
      </c>
      <c r="Q169" s="188" t="s">
        <v>248</v>
      </c>
      <c r="R169" s="350">
        <f>P169</f>
        <v>0.38</v>
      </c>
    </row>
    <row r="170" spans="1:18">
      <c r="A170" s="88" t="s">
        <v>798</v>
      </c>
      <c r="B170" s="188">
        <f>R170</f>
        <v>1.1800000000000001E-2</v>
      </c>
      <c r="C170" s="188" t="s">
        <v>37</v>
      </c>
      <c r="D170" s="188" t="s">
        <v>40</v>
      </c>
      <c r="E170" s="188" t="s">
        <v>29</v>
      </c>
      <c r="F170" s="37" t="s">
        <v>35</v>
      </c>
      <c r="G170" s="188" t="s">
        <v>33</v>
      </c>
      <c r="H170" s="188">
        <v>2</v>
      </c>
      <c r="I170" s="188">
        <f t="shared" si="12"/>
        <v>-4.4396557475105176</v>
      </c>
      <c r="J170" s="188">
        <v>0.20928449536456342</v>
      </c>
      <c r="K170" s="188" t="s">
        <v>31</v>
      </c>
      <c r="L170" s="188" t="s">
        <v>31</v>
      </c>
      <c r="M170" s="188" t="s">
        <v>31</v>
      </c>
      <c r="O170" s="401" t="s">
        <v>580</v>
      </c>
      <c r="P170" s="414">
        <v>11.8</v>
      </c>
      <c r="Q170" s="188" t="s">
        <v>241</v>
      </c>
      <c r="R170" s="188">
        <f>0.001*P170</f>
        <v>1.1800000000000001E-2</v>
      </c>
    </row>
    <row r="171" spans="1:18">
      <c r="A171" s="88" t="s">
        <v>308</v>
      </c>
      <c r="B171" s="188">
        <f>R171</f>
        <v>1.8000000000000002E-3</v>
      </c>
      <c r="C171" s="188" t="s">
        <v>37</v>
      </c>
      <c r="D171" s="188" t="s">
        <v>40</v>
      </c>
      <c r="E171" s="188" t="s">
        <v>29</v>
      </c>
      <c r="F171" s="37" t="s">
        <v>59</v>
      </c>
      <c r="G171" s="188" t="s">
        <v>33</v>
      </c>
      <c r="H171" s="188">
        <v>2</v>
      </c>
      <c r="I171" s="188">
        <f t="shared" si="12"/>
        <v>-6.3199686140800182</v>
      </c>
      <c r="J171" s="188">
        <v>0.20928449536456342</v>
      </c>
      <c r="K171" s="188" t="s">
        <v>31</v>
      </c>
      <c r="L171" s="188" t="s">
        <v>31</v>
      </c>
      <c r="M171" s="188" t="s">
        <v>31</v>
      </c>
      <c r="O171" s="401" t="s">
        <v>580</v>
      </c>
      <c r="P171" s="414">
        <v>1.8</v>
      </c>
      <c r="Q171" s="188" t="s">
        <v>241</v>
      </c>
      <c r="R171" s="188">
        <f t="shared" ref="R171:R173" si="13">0.001*P171</f>
        <v>1.8000000000000002E-3</v>
      </c>
    </row>
    <row r="172" spans="1:18">
      <c r="A172" s="346" t="s">
        <v>799</v>
      </c>
      <c r="B172" s="188">
        <f>R172</f>
        <v>5.79E-2</v>
      </c>
      <c r="C172" s="188" t="s">
        <v>37</v>
      </c>
      <c r="D172" s="188" t="s">
        <v>40</v>
      </c>
      <c r="E172" s="188" t="s">
        <v>29</v>
      </c>
      <c r="F172" s="37" t="s">
        <v>74</v>
      </c>
      <c r="G172" s="188" t="s">
        <v>33</v>
      </c>
      <c r="H172" s="188">
        <v>2</v>
      </c>
      <c r="I172" s="188">
        <f t="shared" si="12"/>
        <v>-2.8490378944031876</v>
      </c>
      <c r="J172" s="188">
        <v>0.20928449536456342</v>
      </c>
      <c r="K172" s="188" t="s">
        <v>31</v>
      </c>
      <c r="L172" s="188" t="s">
        <v>31</v>
      </c>
      <c r="M172" s="188" t="s">
        <v>31</v>
      </c>
      <c r="O172" s="401" t="s">
        <v>580</v>
      </c>
      <c r="P172" s="414">
        <v>57.9</v>
      </c>
      <c r="Q172" s="188" t="s">
        <v>241</v>
      </c>
      <c r="R172" s="188">
        <f t="shared" si="13"/>
        <v>5.79E-2</v>
      </c>
    </row>
    <row r="173" spans="1:18">
      <c r="A173" s="188" t="s">
        <v>784</v>
      </c>
      <c r="B173" s="188">
        <f>R173</f>
        <v>1.3599999999999999E-2</v>
      </c>
      <c r="C173" s="188" t="s">
        <v>37</v>
      </c>
      <c r="D173" s="408" t="s">
        <v>2</v>
      </c>
      <c r="E173" s="188" t="s">
        <v>29</v>
      </c>
      <c r="F173" s="37" t="s">
        <v>74</v>
      </c>
      <c r="G173" s="188" t="s">
        <v>33</v>
      </c>
      <c r="H173" s="188">
        <v>2</v>
      </c>
      <c r="I173" s="188">
        <f t="shared" si="12"/>
        <v>-4.2976854862401304</v>
      </c>
      <c r="J173" s="188">
        <v>0.20928449536456342</v>
      </c>
      <c r="K173" s="188" t="s">
        <v>31</v>
      </c>
      <c r="L173" s="188" t="s">
        <v>31</v>
      </c>
      <c r="M173" s="188" t="s">
        <v>31</v>
      </c>
      <c r="O173" s="447" t="s">
        <v>580</v>
      </c>
      <c r="P173" s="419">
        <v>13.6</v>
      </c>
      <c r="Q173" s="188" t="s">
        <v>241</v>
      </c>
      <c r="R173" s="188">
        <f t="shared" si="13"/>
        <v>1.3599999999999999E-2</v>
      </c>
    </row>
    <row r="174" spans="1:18" s="353" customFormat="1">
      <c r="A174" s="370" t="s">
        <v>5</v>
      </c>
      <c r="B174" s="371" t="s">
        <v>1274</v>
      </c>
      <c r="C174" s="372"/>
    </row>
    <row r="175" spans="1:18">
      <c r="A175" s="346" t="s">
        <v>7</v>
      </c>
      <c r="B175" s="188" t="s">
        <v>786</v>
      </c>
      <c r="C175" s="345"/>
    </row>
    <row r="176" spans="1:18">
      <c r="A176" s="424" t="s">
        <v>9</v>
      </c>
      <c r="B176" s="188" t="s">
        <v>1275</v>
      </c>
      <c r="C176" s="345"/>
    </row>
    <row r="177" spans="1:18" ht="15.75" customHeight="1">
      <c r="A177" s="346" t="s">
        <v>11</v>
      </c>
      <c r="B177" s="347" t="s">
        <v>796</v>
      </c>
    </row>
    <row r="178" spans="1:18">
      <c r="A178" s="346" t="s">
        <v>13</v>
      </c>
      <c r="B178" s="188" t="s">
        <v>14</v>
      </c>
    </row>
    <row r="179" spans="1:18">
      <c r="A179" s="346" t="s">
        <v>15</v>
      </c>
      <c r="B179" s="425">
        <f>B184</f>
        <v>0.14000000000000001</v>
      </c>
    </row>
    <row r="180" spans="1:18">
      <c r="A180" s="346" t="s">
        <v>16</v>
      </c>
      <c r="B180" s="188" t="s">
        <v>17</v>
      </c>
    </row>
    <row r="181" spans="1:18">
      <c r="A181" s="346" t="s">
        <v>18</v>
      </c>
      <c r="B181" s="188" t="s">
        <v>609</v>
      </c>
    </row>
    <row r="182" spans="1:18">
      <c r="A182" s="343" t="s">
        <v>19</v>
      </c>
    </row>
    <row r="183" spans="1:18">
      <c r="A183" s="344" t="s">
        <v>20</v>
      </c>
      <c r="B183" s="344" t="s">
        <v>21</v>
      </c>
      <c r="C183" s="344" t="s">
        <v>18</v>
      </c>
      <c r="D183" s="344" t="s">
        <v>22</v>
      </c>
      <c r="E183" s="344" t="s">
        <v>7</v>
      </c>
      <c r="F183" s="344" t="s">
        <v>13</v>
      </c>
      <c r="G183" s="344" t="s">
        <v>16</v>
      </c>
      <c r="H183" s="344" t="s">
        <v>23</v>
      </c>
      <c r="I183" s="344" t="s">
        <v>24</v>
      </c>
      <c r="J183" s="344" t="s">
        <v>25</v>
      </c>
      <c r="K183" s="344" t="s">
        <v>26</v>
      </c>
      <c r="L183" s="344" t="s">
        <v>27</v>
      </c>
      <c r="M183" s="344" t="s">
        <v>28</v>
      </c>
      <c r="N183" s="344" t="s">
        <v>11</v>
      </c>
    </row>
    <row r="184" spans="1:18">
      <c r="A184" s="192" t="s">
        <v>1274</v>
      </c>
      <c r="B184" s="503">
        <v>0.14000000000000001</v>
      </c>
      <c r="C184" s="188" t="s">
        <v>609</v>
      </c>
      <c r="D184" s="408" t="s">
        <v>2</v>
      </c>
      <c r="E184" s="188" t="s">
        <v>29</v>
      </c>
      <c r="F184" s="37" t="s">
        <v>14</v>
      </c>
      <c r="G184" s="188" t="s">
        <v>30</v>
      </c>
      <c r="H184" s="188">
        <v>1</v>
      </c>
      <c r="I184" s="415">
        <f>B184</f>
        <v>0.14000000000000001</v>
      </c>
      <c r="J184" s="188" t="s">
        <v>31</v>
      </c>
      <c r="K184" s="188" t="s">
        <v>31</v>
      </c>
      <c r="L184" s="188" t="s">
        <v>31</v>
      </c>
      <c r="M184" s="188" t="s">
        <v>31</v>
      </c>
    </row>
    <row r="185" spans="1:18">
      <c r="A185" s="188" t="s">
        <v>1276</v>
      </c>
      <c r="B185" s="504">
        <v>0.14000000000000001</v>
      </c>
      <c r="C185" s="188" t="s">
        <v>609</v>
      </c>
      <c r="D185" s="408" t="s">
        <v>2</v>
      </c>
      <c r="E185" s="188" t="s">
        <v>29</v>
      </c>
      <c r="F185" s="37" t="s">
        <v>14</v>
      </c>
      <c r="G185" s="188" t="s">
        <v>33</v>
      </c>
      <c r="H185" s="188">
        <v>1</v>
      </c>
      <c r="I185" s="415">
        <f>B185</f>
        <v>0.14000000000000001</v>
      </c>
      <c r="J185" s="188" t="s">
        <v>31</v>
      </c>
      <c r="K185" s="188" t="s">
        <v>31</v>
      </c>
      <c r="L185" s="188" t="s">
        <v>31</v>
      </c>
      <c r="M185" s="188" t="s">
        <v>31</v>
      </c>
    </row>
    <row r="186" spans="1:18">
      <c r="A186" s="346" t="s">
        <v>269</v>
      </c>
      <c r="B186" s="350">
        <f>P186</f>
        <v>7.6899999999999995</v>
      </c>
      <c r="C186" s="188" t="s">
        <v>39</v>
      </c>
      <c r="D186" s="188" t="s">
        <v>40</v>
      </c>
      <c r="E186" s="188" t="s">
        <v>29</v>
      </c>
      <c r="F186" s="37" t="s">
        <v>35</v>
      </c>
      <c r="G186" s="188" t="s">
        <v>33</v>
      </c>
      <c r="H186" s="188">
        <v>2</v>
      </c>
      <c r="I186" s="188">
        <f t="shared" ref="I186:I187" si="14">LN(B186)</f>
        <v>2.0399207835175526</v>
      </c>
      <c r="J186" s="188">
        <v>0.20928449536456342</v>
      </c>
      <c r="K186" s="188" t="s">
        <v>31</v>
      </c>
      <c r="L186" s="188" t="s">
        <v>31</v>
      </c>
      <c r="M186" s="188" t="s">
        <v>31</v>
      </c>
      <c r="O186" s="401" t="s">
        <v>248</v>
      </c>
      <c r="P186" s="414">
        <f>5.16+2.53</f>
        <v>7.6899999999999995</v>
      </c>
    </row>
    <row r="187" spans="1:18" ht="14.45">
      <c r="A187" s="346" t="s">
        <v>799</v>
      </c>
      <c r="B187" s="188">
        <f>R187</f>
        <v>1.6300000000000002E-2</v>
      </c>
      <c r="C187" s="188" t="s">
        <v>37</v>
      </c>
      <c r="D187" s="188" t="s">
        <v>40</v>
      </c>
      <c r="E187" s="188" t="s">
        <v>29</v>
      </c>
      <c r="F187" s="37" t="s">
        <v>74</v>
      </c>
      <c r="G187" s="188" t="s">
        <v>33</v>
      </c>
      <c r="H187" s="188">
        <v>2</v>
      </c>
      <c r="I187" s="188">
        <f t="shared" si="14"/>
        <v>-4.1165901711694204</v>
      </c>
      <c r="J187" s="188">
        <v>0.20928449536456342</v>
      </c>
      <c r="K187" s="188" t="s">
        <v>31</v>
      </c>
      <c r="L187" s="188" t="s">
        <v>31</v>
      </c>
      <c r="M187" s="188" t="s">
        <v>31</v>
      </c>
      <c r="O187" s="401" t="s">
        <v>580</v>
      </c>
      <c r="P187" s="138">
        <v>16.3</v>
      </c>
      <c r="Q187" s="188" t="s">
        <v>241</v>
      </c>
      <c r="R187" s="188">
        <f>P187*0.001</f>
        <v>1.6300000000000002E-2</v>
      </c>
    </row>
    <row r="188" spans="1:18" ht="14.45">
      <c r="A188" s="88" t="s">
        <v>545</v>
      </c>
      <c r="B188" s="188">
        <f>R188</f>
        <v>1.9899999999999998E-2</v>
      </c>
      <c r="C188" s="188" t="s">
        <v>37</v>
      </c>
      <c r="D188" s="188" t="s">
        <v>40</v>
      </c>
      <c r="E188" s="188" t="s">
        <v>29</v>
      </c>
      <c r="F188" s="188" t="s">
        <v>35</v>
      </c>
      <c r="G188" s="188" t="s">
        <v>33</v>
      </c>
      <c r="H188" s="188">
        <v>2</v>
      </c>
      <c r="I188" s="188">
        <f>LN(B188)</f>
        <v>-3.9170355472516905</v>
      </c>
      <c r="J188" s="188">
        <v>0.20928449536456342</v>
      </c>
      <c r="K188" s="188" t="s">
        <v>31</v>
      </c>
      <c r="L188" s="188" t="s">
        <v>31</v>
      </c>
      <c r="M188" s="188" t="s">
        <v>31</v>
      </c>
      <c r="O188" s="401" t="s">
        <v>580</v>
      </c>
      <c r="P188" s="138">
        <v>19.899999999999999</v>
      </c>
      <c r="Q188" s="188" t="s">
        <v>241</v>
      </c>
      <c r="R188" s="188">
        <f>P188*0.001</f>
        <v>1.9899999999999998E-2</v>
      </c>
    </row>
    <row r="189" spans="1:18" ht="14.45">
      <c r="A189" s="188" t="s">
        <v>784</v>
      </c>
      <c r="B189" s="188">
        <f>R189</f>
        <v>1.9899999999999998E-2</v>
      </c>
      <c r="C189" s="188" t="s">
        <v>37</v>
      </c>
      <c r="D189" s="408" t="s">
        <v>2</v>
      </c>
      <c r="E189" s="188" t="s">
        <v>29</v>
      </c>
      <c r="F189" s="37" t="s">
        <v>74</v>
      </c>
      <c r="G189" s="188" t="s">
        <v>33</v>
      </c>
      <c r="H189" s="188">
        <v>2</v>
      </c>
      <c r="I189" s="188">
        <f t="shared" ref="I189" si="15">LN(B189)</f>
        <v>-3.9170355472516905</v>
      </c>
      <c r="J189" s="188">
        <v>0.20928449536456342</v>
      </c>
      <c r="K189" s="188" t="s">
        <v>31</v>
      </c>
      <c r="L189" s="188" t="s">
        <v>31</v>
      </c>
      <c r="M189" s="188" t="s">
        <v>31</v>
      </c>
      <c r="O189" s="447" t="s">
        <v>580</v>
      </c>
      <c r="P189" s="142">
        <v>19.899999999999999</v>
      </c>
      <c r="Q189" s="188" t="s">
        <v>241</v>
      </c>
      <c r="R189" s="188">
        <f t="shared" ref="R189" si="16">0.001*P189</f>
        <v>1.9899999999999998E-2</v>
      </c>
    </row>
    <row r="190" spans="1:18" s="353" customFormat="1">
      <c r="A190" s="370" t="s">
        <v>5</v>
      </c>
      <c r="B190" s="371" t="s">
        <v>1276</v>
      </c>
      <c r="C190" s="372"/>
    </row>
    <row r="191" spans="1:18">
      <c r="A191" s="346" t="s">
        <v>7</v>
      </c>
      <c r="B191" s="188" t="s">
        <v>786</v>
      </c>
      <c r="C191" s="345"/>
    </row>
    <row r="192" spans="1:18">
      <c r="A192" s="424" t="s">
        <v>9</v>
      </c>
      <c r="B192" s="188" t="s">
        <v>1277</v>
      </c>
      <c r="C192" s="345"/>
    </row>
    <row r="193" spans="1:21" ht="15.75" customHeight="1">
      <c r="A193" s="346" t="s">
        <v>11</v>
      </c>
      <c r="B193" s="347" t="s">
        <v>796</v>
      </c>
    </row>
    <row r="194" spans="1:21">
      <c r="A194" s="346" t="s">
        <v>13</v>
      </c>
      <c r="B194" s="188" t="s">
        <v>14</v>
      </c>
      <c r="R194" s="344" t="s">
        <v>885</v>
      </c>
    </row>
    <row r="195" spans="1:21">
      <c r="A195" s="346" t="s">
        <v>15</v>
      </c>
      <c r="B195" s="425">
        <f>B200</f>
        <v>1.45</v>
      </c>
      <c r="R195" s="188" t="s">
        <v>886</v>
      </c>
      <c r="S195" s="188">
        <v>8900</v>
      </c>
      <c r="T195" s="188" t="s">
        <v>887</v>
      </c>
    </row>
    <row r="196" spans="1:21">
      <c r="A196" s="346" t="s">
        <v>16</v>
      </c>
      <c r="B196" s="188" t="s">
        <v>17</v>
      </c>
      <c r="R196" s="188" t="s">
        <v>888</v>
      </c>
      <c r="S196" s="188">
        <f>5*10^-6</f>
        <v>4.9999999999999996E-6</v>
      </c>
      <c r="T196" s="188" t="s">
        <v>889</v>
      </c>
    </row>
    <row r="197" spans="1:21">
      <c r="A197" s="346" t="s">
        <v>18</v>
      </c>
      <c r="B197" s="188" t="s">
        <v>609</v>
      </c>
      <c r="R197" s="427" t="s">
        <v>890</v>
      </c>
      <c r="S197" s="428">
        <f>S196*S195</f>
        <v>4.4499999999999998E-2</v>
      </c>
      <c r="T197" s="429" t="s">
        <v>891</v>
      </c>
    </row>
    <row r="198" spans="1:21">
      <c r="A198" s="343" t="s">
        <v>19</v>
      </c>
    </row>
    <row r="199" spans="1:21">
      <c r="A199" s="344" t="s">
        <v>20</v>
      </c>
      <c r="B199" s="344" t="s">
        <v>21</v>
      </c>
      <c r="C199" s="344" t="s">
        <v>18</v>
      </c>
      <c r="D199" s="344" t="s">
        <v>22</v>
      </c>
      <c r="E199" s="344" t="s">
        <v>7</v>
      </c>
      <c r="F199" s="344" t="s">
        <v>13</v>
      </c>
      <c r="G199" s="344" t="s">
        <v>16</v>
      </c>
      <c r="H199" s="344" t="s">
        <v>23</v>
      </c>
      <c r="I199" s="344" t="s">
        <v>24</v>
      </c>
      <c r="J199" s="344" t="s">
        <v>25</v>
      </c>
      <c r="K199" s="344" t="s">
        <v>26</v>
      </c>
      <c r="L199" s="344" t="s">
        <v>27</v>
      </c>
      <c r="M199" s="344" t="s">
        <v>28</v>
      </c>
      <c r="N199" s="344" t="s">
        <v>11</v>
      </c>
      <c r="R199" s="188" t="s">
        <v>554</v>
      </c>
      <c r="U199" s="410"/>
    </row>
    <row r="200" spans="1:21">
      <c r="A200" s="188" t="s">
        <v>1276</v>
      </c>
      <c r="B200" s="455">
        <v>1.45</v>
      </c>
      <c r="C200" s="188" t="s">
        <v>609</v>
      </c>
      <c r="D200" s="408" t="s">
        <v>2</v>
      </c>
      <c r="E200" s="188" t="s">
        <v>29</v>
      </c>
      <c r="F200" s="188" t="s">
        <v>14</v>
      </c>
      <c r="G200" s="188" t="s">
        <v>30</v>
      </c>
      <c r="H200" s="188">
        <v>1</v>
      </c>
      <c r="I200" s="188">
        <f>B200</f>
        <v>1.45</v>
      </c>
      <c r="J200" s="188" t="s">
        <v>31</v>
      </c>
      <c r="K200" s="188" t="s">
        <v>31</v>
      </c>
      <c r="L200" s="188" t="s">
        <v>31</v>
      </c>
      <c r="M200" s="188" t="s">
        <v>31</v>
      </c>
      <c r="O200" s="449" t="s">
        <v>892</v>
      </c>
      <c r="P200" s="450">
        <f>B200*100</f>
        <v>145</v>
      </c>
      <c r="R200" s="430">
        <v>1.49</v>
      </c>
      <c r="S200" s="431" t="s">
        <v>610</v>
      </c>
      <c r="T200" s="430">
        <f>R200*S197</f>
        <v>6.6305000000000003E-2</v>
      </c>
      <c r="U200" s="431" t="s">
        <v>241</v>
      </c>
    </row>
    <row r="201" spans="1:21">
      <c r="A201" s="188" t="s">
        <v>1278</v>
      </c>
      <c r="B201" s="455">
        <v>1.45</v>
      </c>
      <c r="C201" s="188" t="s">
        <v>609</v>
      </c>
      <c r="D201" s="408" t="s">
        <v>2</v>
      </c>
      <c r="E201" s="188" t="s">
        <v>29</v>
      </c>
      <c r="F201" s="188" t="s">
        <v>14</v>
      </c>
      <c r="G201" s="188" t="s">
        <v>33</v>
      </c>
      <c r="H201" s="188">
        <v>1</v>
      </c>
      <c r="I201" s="188">
        <f t="shared" ref="I201:I202" si="17">B201</f>
        <v>1.45</v>
      </c>
      <c r="J201" s="188">
        <v>7.2284161474004766E-2</v>
      </c>
      <c r="K201" s="188" t="s">
        <v>31</v>
      </c>
      <c r="L201" s="188" t="s">
        <v>31</v>
      </c>
      <c r="M201" s="188" t="s">
        <v>31</v>
      </c>
      <c r="O201" s="401" t="s">
        <v>892</v>
      </c>
      <c r="P201" s="414">
        <f>B201*100</f>
        <v>145</v>
      </c>
    </row>
    <row r="202" spans="1:21">
      <c r="A202" s="192" t="s">
        <v>1230</v>
      </c>
      <c r="B202" s="420">
        <f>T200</f>
        <v>6.6305000000000003E-2</v>
      </c>
      <c r="C202" s="188" t="s">
        <v>37</v>
      </c>
      <c r="D202" s="408" t="s">
        <v>2</v>
      </c>
      <c r="E202" s="188" t="s">
        <v>29</v>
      </c>
      <c r="F202" s="37" t="s">
        <v>14</v>
      </c>
      <c r="G202" s="188" t="s">
        <v>33</v>
      </c>
      <c r="H202" s="188">
        <v>1</v>
      </c>
      <c r="I202" s="188">
        <f t="shared" si="17"/>
        <v>6.6305000000000003E-2</v>
      </c>
      <c r="J202" s="188">
        <v>7.2284161474004766E-2</v>
      </c>
      <c r="K202" s="188" t="s">
        <v>31</v>
      </c>
      <c r="L202" s="188" t="s">
        <v>31</v>
      </c>
      <c r="M202" s="188" t="s">
        <v>31</v>
      </c>
      <c r="O202" s="192"/>
      <c r="P202" s="421"/>
    </row>
    <row r="203" spans="1:21">
      <c r="A203" s="346" t="s">
        <v>799</v>
      </c>
      <c r="B203" s="188">
        <f>P203</f>
        <v>11.9</v>
      </c>
      <c r="C203" s="188" t="s">
        <v>37</v>
      </c>
      <c r="D203" s="188" t="s">
        <v>40</v>
      </c>
      <c r="E203" s="188" t="s">
        <v>29</v>
      </c>
      <c r="F203" s="37" t="s">
        <v>74</v>
      </c>
      <c r="G203" s="188" t="s">
        <v>33</v>
      </c>
      <c r="H203" s="188">
        <v>2</v>
      </c>
      <c r="I203" s="188">
        <f t="shared" ref="I203" si="18">LN(B203)</f>
        <v>2.4765384001174837</v>
      </c>
      <c r="J203" s="188">
        <v>7.2284161474004766E-2</v>
      </c>
      <c r="K203" s="188" t="s">
        <v>31</v>
      </c>
      <c r="L203" s="188" t="s">
        <v>31</v>
      </c>
      <c r="M203" s="188" t="s">
        <v>31</v>
      </c>
      <c r="O203" s="401" t="s">
        <v>241</v>
      </c>
      <c r="P203" s="414">
        <v>11.9</v>
      </c>
    </row>
    <row r="204" spans="1:21">
      <c r="A204" s="88" t="s">
        <v>874</v>
      </c>
      <c r="B204" s="451">
        <f>R204</f>
        <v>5.9999999999999997E-7</v>
      </c>
      <c r="C204" s="188" t="s">
        <v>37</v>
      </c>
      <c r="D204" s="188" t="s">
        <v>40</v>
      </c>
      <c r="E204" s="188" t="s">
        <v>29</v>
      </c>
      <c r="F204" s="37" t="s">
        <v>59</v>
      </c>
      <c r="G204" s="188" t="s">
        <v>33</v>
      </c>
      <c r="H204" s="188">
        <v>2</v>
      </c>
      <c r="I204" s="188">
        <f>LN(B204)</f>
        <v>-14.326336181730264</v>
      </c>
      <c r="J204" s="188">
        <v>7.2284161474004766E-2</v>
      </c>
      <c r="K204" s="188" t="s">
        <v>31</v>
      </c>
      <c r="L204" s="188" t="s">
        <v>31</v>
      </c>
      <c r="M204" s="188" t="s">
        <v>31</v>
      </c>
      <c r="O204" s="416" t="s">
        <v>538</v>
      </c>
      <c r="P204" s="439">
        <v>0.6</v>
      </c>
      <c r="Q204" s="188" t="s">
        <v>241</v>
      </c>
      <c r="R204" s="188">
        <f>0.000001*P204</f>
        <v>5.9999999999999997E-7</v>
      </c>
    </row>
    <row r="205" spans="1:21">
      <c r="A205" s="88" t="s">
        <v>76</v>
      </c>
      <c r="B205" s="451">
        <f>R205</f>
        <v>1.1900000000000001E-2</v>
      </c>
      <c r="C205" s="188" t="s">
        <v>42</v>
      </c>
      <c r="D205" s="188" t="s">
        <v>40</v>
      </c>
      <c r="E205" s="188" t="s">
        <v>29</v>
      </c>
      <c r="F205" s="37" t="s">
        <v>74</v>
      </c>
      <c r="G205" s="188" t="s">
        <v>33</v>
      </c>
      <c r="H205" s="188">
        <v>2</v>
      </c>
      <c r="I205" s="188">
        <f t="shared" ref="I205" si="19">LN(B205)</f>
        <v>-4.4312168788646531</v>
      </c>
      <c r="J205" s="188">
        <v>7.2284161474004766E-2</v>
      </c>
      <c r="K205" s="188" t="s">
        <v>31</v>
      </c>
      <c r="L205" s="188" t="s">
        <v>31</v>
      </c>
      <c r="M205" s="188" t="s">
        <v>31</v>
      </c>
      <c r="O205" s="418" t="s">
        <v>863</v>
      </c>
      <c r="P205" s="419">
        <v>11.9</v>
      </c>
      <c r="Q205" s="188" t="s">
        <v>251</v>
      </c>
      <c r="R205" s="188">
        <f>0.001*P205</f>
        <v>1.1900000000000001E-2</v>
      </c>
    </row>
    <row r="206" spans="1:21" s="353" customFormat="1">
      <c r="A206" s="370" t="s">
        <v>5</v>
      </c>
      <c r="B206" s="371" t="s">
        <v>1278</v>
      </c>
      <c r="C206" s="372"/>
    </row>
    <row r="207" spans="1:21">
      <c r="A207" s="346" t="s">
        <v>7</v>
      </c>
      <c r="B207" s="188" t="s">
        <v>786</v>
      </c>
      <c r="C207" s="345"/>
    </row>
    <row r="208" spans="1:21">
      <c r="A208" s="424" t="s">
        <v>9</v>
      </c>
      <c r="B208" s="188" t="s">
        <v>1279</v>
      </c>
      <c r="C208" s="345"/>
    </row>
    <row r="209" spans="1:19" ht="15.75" customHeight="1">
      <c r="A209" s="346" t="s">
        <v>11</v>
      </c>
      <c r="B209" s="347" t="s">
        <v>796</v>
      </c>
    </row>
    <row r="210" spans="1:19">
      <c r="A210" s="346" t="s">
        <v>13</v>
      </c>
      <c r="B210" s="188" t="s">
        <v>14</v>
      </c>
    </row>
    <row r="211" spans="1:19">
      <c r="A211" s="346" t="s">
        <v>15</v>
      </c>
      <c r="B211" s="425">
        <f>B216</f>
        <v>1.45</v>
      </c>
    </row>
    <row r="212" spans="1:19">
      <c r="A212" s="346" t="s">
        <v>16</v>
      </c>
      <c r="B212" s="188" t="s">
        <v>17</v>
      </c>
    </row>
    <row r="213" spans="1:19">
      <c r="A213" s="346" t="s">
        <v>18</v>
      </c>
      <c r="B213" s="188" t="s">
        <v>609</v>
      </c>
      <c r="S213" s="415"/>
    </row>
    <row r="214" spans="1:19">
      <c r="A214" s="343" t="s">
        <v>19</v>
      </c>
    </row>
    <row r="215" spans="1:19">
      <c r="A215" s="344" t="s">
        <v>20</v>
      </c>
      <c r="B215" s="344" t="s">
        <v>21</v>
      </c>
      <c r="C215" s="344" t="s">
        <v>18</v>
      </c>
      <c r="D215" s="344" t="s">
        <v>22</v>
      </c>
      <c r="E215" s="344" t="s">
        <v>7</v>
      </c>
      <c r="F215" s="344" t="s">
        <v>13</v>
      </c>
      <c r="G215" s="344" t="s">
        <v>16</v>
      </c>
      <c r="H215" s="344" t="s">
        <v>23</v>
      </c>
      <c r="I215" s="344" t="s">
        <v>24</v>
      </c>
      <c r="J215" s="344" t="s">
        <v>25</v>
      </c>
      <c r="K215" s="344" t="s">
        <v>26</v>
      </c>
      <c r="L215" s="344" t="s">
        <v>27</v>
      </c>
      <c r="M215" s="344" t="s">
        <v>28</v>
      </c>
      <c r="N215" s="344" t="s">
        <v>11</v>
      </c>
    </row>
    <row r="216" spans="1:19">
      <c r="A216" s="188" t="s">
        <v>1278</v>
      </c>
      <c r="B216" s="415">
        <f>P216</f>
        <v>1.45</v>
      </c>
      <c r="C216" s="188" t="s">
        <v>609</v>
      </c>
      <c r="D216" s="408" t="s">
        <v>2</v>
      </c>
      <c r="E216" s="188" t="s">
        <v>29</v>
      </c>
      <c r="F216" s="188" t="s">
        <v>14</v>
      </c>
      <c r="G216" s="188" t="s">
        <v>30</v>
      </c>
      <c r="H216" s="188">
        <v>1</v>
      </c>
      <c r="I216" s="415">
        <f>B216</f>
        <v>1.45</v>
      </c>
      <c r="J216" s="188" t="s">
        <v>31</v>
      </c>
      <c r="K216" s="188" t="s">
        <v>31</v>
      </c>
      <c r="L216" s="188" t="s">
        <v>31</v>
      </c>
      <c r="M216" s="188" t="s">
        <v>31</v>
      </c>
      <c r="O216" s="401" t="s">
        <v>610</v>
      </c>
      <c r="P216" s="455">
        <v>1.45</v>
      </c>
    </row>
    <row r="217" spans="1:19">
      <c r="A217" s="188" t="s">
        <v>1233</v>
      </c>
      <c r="B217" s="415">
        <f>'2D. Reusable'!B68</f>
        <v>0.27</v>
      </c>
      <c r="C217" s="188" t="s">
        <v>37</v>
      </c>
      <c r="D217" s="408" t="s">
        <v>2</v>
      </c>
      <c r="E217" s="188" t="s">
        <v>29</v>
      </c>
      <c r="F217" s="188" t="s">
        <v>14</v>
      </c>
      <c r="G217" s="188" t="s">
        <v>33</v>
      </c>
      <c r="H217" s="188">
        <v>1</v>
      </c>
      <c r="I217" s="415">
        <f>B217</f>
        <v>0.27</v>
      </c>
      <c r="J217" s="188" t="s">
        <v>31</v>
      </c>
      <c r="K217" s="188" t="s">
        <v>31</v>
      </c>
      <c r="L217" s="188" t="s">
        <v>31</v>
      </c>
      <c r="M217" s="188" t="s">
        <v>31</v>
      </c>
      <c r="O217" s="432"/>
      <c r="P217" s="455">
        <v>1.45</v>
      </c>
      <c r="Q217" s="188" t="s">
        <v>1043</v>
      </c>
    </row>
    <row r="218" spans="1:19">
      <c r="A218" s="346" t="s">
        <v>269</v>
      </c>
      <c r="B218" s="350">
        <f>P218</f>
        <v>0.64</v>
      </c>
      <c r="C218" s="188" t="s">
        <v>39</v>
      </c>
      <c r="D218" s="188" t="s">
        <v>40</v>
      </c>
      <c r="E218" s="188" t="s">
        <v>29</v>
      </c>
      <c r="F218" s="37" t="s">
        <v>35</v>
      </c>
      <c r="G218" s="188" t="s">
        <v>33</v>
      </c>
      <c r="H218" s="188">
        <v>2</v>
      </c>
      <c r="I218" s="188">
        <f t="shared" ref="I218:I219" si="20">LN(B218)</f>
        <v>-0.44628710262841947</v>
      </c>
      <c r="J218" s="188">
        <v>7.2284161474004766E-2</v>
      </c>
      <c r="K218" s="188" t="s">
        <v>31</v>
      </c>
      <c r="L218" s="188" t="s">
        <v>31</v>
      </c>
      <c r="M218" s="188" t="s">
        <v>31</v>
      </c>
      <c r="O218" s="401" t="s">
        <v>248</v>
      </c>
      <c r="P218" s="414">
        <v>0.64</v>
      </c>
    </row>
    <row r="219" spans="1:19">
      <c r="A219" s="88" t="s">
        <v>310</v>
      </c>
      <c r="B219" s="188">
        <f>R219</f>
        <v>1.4999999999999999E-2</v>
      </c>
      <c r="C219" s="415" t="s">
        <v>37</v>
      </c>
      <c r="D219" s="188" t="s">
        <v>40</v>
      </c>
      <c r="E219" s="188" t="s">
        <v>29</v>
      </c>
      <c r="F219" s="188" t="s">
        <v>59</v>
      </c>
      <c r="G219" s="188" t="s">
        <v>33</v>
      </c>
      <c r="H219" s="188">
        <v>2</v>
      </c>
      <c r="I219" s="188">
        <f t="shared" si="20"/>
        <v>-4.1997050778799272</v>
      </c>
      <c r="J219" s="188">
        <v>7.2284161474004766E-2</v>
      </c>
      <c r="K219" s="188" t="s">
        <v>31</v>
      </c>
      <c r="L219" s="188" t="s">
        <v>31</v>
      </c>
      <c r="M219" s="188" t="s">
        <v>31</v>
      </c>
      <c r="O219" s="401" t="s">
        <v>580</v>
      </c>
      <c r="P219" s="414">
        <v>15</v>
      </c>
      <c r="Q219" s="188" t="s">
        <v>241</v>
      </c>
      <c r="R219" s="188">
        <f>P219*0.001</f>
        <v>1.4999999999999999E-2</v>
      </c>
    </row>
    <row r="220" spans="1:19">
      <c r="A220" s="112" t="s">
        <v>871</v>
      </c>
      <c r="B220" s="188">
        <f t="shared" ref="B220:B221" si="21">R220</f>
        <v>2.8000000000000001E-2</v>
      </c>
      <c r="C220" s="188" t="s">
        <v>37</v>
      </c>
      <c r="D220" s="188" t="s">
        <v>40</v>
      </c>
      <c r="E220" s="188" t="s">
        <v>29</v>
      </c>
      <c r="F220" s="37" t="s">
        <v>35</v>
      </c>
      <c r="G220" s="188" t="s">
        <v>33</v>
      </c>
      <c r="H220" s="188">
        <v>2</v>
      </c>
      <c r="I220" s="188">
        <f>LN(B220)</f>
        <v>-3.575550768806933</v>
      </c>
      <c r="J220" s="188">
        <v>7.2284161474004766E-2</v>
      </c>
      <c r="K220" s="188" t="s">
        <v>31</v>
      </c>
      <c r="L220" s="188" t="s">
        <v>31</v>
      </c>
      <c r="M220" s="188" t="s">
        <v>31</v>
      </c>
      <c r="O220" s="401" t="s">
        <v>580</v>
      </c>
      <c r="P220" s="414">
        <v>28</v>
      </c>
      <c r="Q220" s="188" t="s">
        <v>241</v>
      </c>
      <c r="R220" s="188">
        <f>P220*0.001</f>
        <v>2.8000000000000001E-2</v>
      </c>
    </row>
    <row r="221" spans="1:19">
      <c r="A221" s="346" t="s">
        <v>799</v>
      </c>
      <c r="B221" s="188">
        <f t="shared" si="21"/>
        <v>24.6</v>
      </c>
      <c r="C221" s="188" t="s">
        <v>37</v>
      </c>
      <c r="D221" s="188" t="s">
        <v>40</v>
      </c>
      <c r="E221" s="188" t="s">
        <v>29</v>
      </c>
      <c r="F221" s="37" t="s">
        <v>74</v>
      </c>
      <c r="G221" s="188" t="s">
        <v>33</v>
      </c>
      <c r="H221" s="188">
        <v>2</v>
      </c>
      <c r="I221" s="188">
        <f t="shared" ref="I221:I222" si="22">LN(B221)</f>
        <v>3.202746442938317</v>
      </c>
      <c r="J221" s="188">
        <v>7.2284161474004766E-2</v>
      </c>
      <c r="K221" s="188" t="s">
        <v>31</v>
      </c>
      <c r="L221" s="188" t="s">
        <v>31</v>
      </c>
      <c r="M221" s="188" t="s">
        <v>31</v>
      </c>
      <c r="O221" s="401" t="s">
        <v>241</v>
      </c>
      <c r="P221" s="414">
        <v>24.6</v>
      </c>
      <c r="Q221" s="188" t="s">
        <v>241</v>
      </c>
      <c r="R221" s="188">
        <f>P221</f>
        <v>24.6</v>
      </c>
    </row>
    <row r="222" spans="1:19">
      <c r="A222" s="88" t="s">
        <v>76</v>
      </c>
      <c r="B222" s="188">
        <f>R222</f>
        <v>2.46E-2</v>
      </c>
      <c r="C222" s="188" t="s">
        <v>42</v>
      </c>
      <c r="D222" s="188" t="s">
        <v>40</v>
      </c>
      <c r="E222" s="188" t="s">
        <v>29</v>
      </c>
      <c r="F222" s="37" t="s">
        <v>74</v>
      </c>
      <c r="G222" s="188" t="s">
        <v>33</v>
      </c>
      <c r="H222" s="188">
        <v>2</v>
      </c>
      <c r="I222" s="188">
        <f t="shared" si="22"/>
        <v>-3.7050088360438198</v>
      </c>
      <c r="J222" s="188">
        <v>7.2284161474004766E-2</v>
      </c>
      <c r="K222" s="188" t="s">
        <v>31</v>
      </c>
      <c r="L222" s="188" t="s">
        <v>31</v>
      </c>
      <c r="M222" s="188" t="s">
        <v>31</v>
      </c>
      <c r="O222" s="418" t="s">
        <v>863</v>
      </c>
      <c r="P222" s="419">
        <v>24.6</v>
      </c>
      <c r="Q222" s="188" t="s">
        <v>251</v>
      </c>
      <c r="R222" s="188">
        <f>0.001*P222</f>
        <v>2.46E-2</v>
      </c>
    </row>
    <row r="223" spans="1:19" s="353" customFormat="1">
      <c r="A223" s="370" t="s">
        <v>5</v>
      </c>
      <c r="B223" s="446" t="s">
        <v>1271</v>
      </c>
      <c r="C223" s="372"/>
      <c r="P223" s="188"/>
    </row>
    <row r="224" spans="1:19">
      <c r="A224" s="346" t="s">
        <v>7</v>
      </c>
      <c r="B224" s="188" t="s">
        <v>786</v>
      </c>
      <c r="C224" s="345"/>
    </row>
    <row r="225" spans="1:16">
      <c r="A225" s="424" t="s">
        <v>9</v>
      </c>
      <c r="B225" s="188" t="s">
        <v>1280</v>
      </c>
      <c r="C225" s="345"/>
    </row>
    <row r="226" spans="1:16" ht="15.75" customHeight="1">
      <c r="A226" s="346" t="s">
        <v>11</v>
      </c>
      <c r="B226" s="347" t="s">
        <v>796</v>
      </c>
    </row>
    <row r="227" spans="1:16">
      <c r="A227" s="346" t="s">
        <v>13</v>
      </c>
      <c r="B227" s="188" t="s">
        <v>14</v>
      </c>
    </row>
    <row r="228" spans="1:16">
      <c r="A228" s="346" t="s">
        <v>15</v>
      </c>
      <c r="B228" s="425">
        <f>B233</f>
        <v>4.2000000000000003E-2</v>
      </c>
    </row>
    <row r="229" spans="1:16">
      <c r="A229" s="346" t="s">
        <v>16</v>
      </c>
      <c r="B229" s="188" t="s">
        <v>17</v>
      </c>
    </row>
    <row r="230" spans="1:16">
      <c r="A230" s="346" t="s">
        <v>18</v>
      </c>
      <c r="B230" s="188" t="s">
        <v>609</v>
      </c>
    </row>
    <row r="231" spans="1:16">
      <c r="A231" s="343" t="s">
        <v>19</v>
      </c>
    </row>
    <row r="232" spans="1:16">
      <c r="A232" s="344" t="s">
        <v>20</v>
      </c>
      <c r="B232" s="344" t="s">
        <v>21</v>
      </c>
      <c r="C232" s="344" t="s">
        <v>18</v>
      </c>
      <c r="D232" s="344" t="s">
        <v>22</v>
      </c>
      <c r="E232" s="344" t="s">
        <v>7</v>
      </c>
      <c r="F232" s="344" t="s">
        <v>13</v>
      </c>
      <c r="G232" s="344" t="s">
        <v>16</v>
      </c>
      <c r="H232" s="344" t="s">
        <v>23</v>
      </c>
      <c r="I232" s="344" t="s">
        <v>24</v>
      </c>
      <c r="J232" s="344" t="s">
        <v>25</v>
      </c>
      <c r="K232" s="344" t="s">
        <v>26</v>
      </c>
      <c r="L232" s="344" t="s">
        <v>27</v>
      </c>
      <c r="M232" s="344" t="s">
        <v>28</v>
      </c>
      <c r="N232" s="344" t="s">
        <v>11</v>
      </c>
    </row>
    <row r="233" spans="1:16">
      <c r="A233" s="188" t="s">
        <v>1271</v>
      </c>
      <c r="B233" s="415">
        <f>P233</f>
        <v>4.2000000000000003E-2</v>
      </c>
      <c r="C233" s="188" t="s">
        <v>609</v>
      </c>
      <c r="D233" s="408" t="s">
        <v>2</v>
      </c>
      <c r="E233" s="188" t="s">
        <v>29</v>
      </c>
      <c r="F233" s="37" t="s">
        <v>14</v>
      </c>
      <c r="G233" s="188" t="s">
        <v>30</v>
      </c>
      <c r="H233" s="188">
        <v>1</v>
      </c>
      <c r="I233" s="415">
        <f t="shared" ref="I233:I235" si="23">B233</f>
        <v>4.2000000000000003E-2</v>
      </c>
      <c r="J233" s="188" t="s">
        <v>31</v>
      </c>
      <c r="K233" s="188" t="s">
        <v>31</v>
      </c>
      <c r="L233" s="188" t="s">
        <v>31</v>
      </c>
      <c r="M233" s="188" t="s">
        <v>31</v>
      </c>
      <c r="O233" s="471" t="s">
        <v>823</v>
      </c>
      <c r="P233" s="469">
        <v>4.2000000000000003E-2</v>
      </c>
    </row>
    <row r="234" spans="1:16">
      <c r="A234" s="188" t="s">
        <v>1281</v>
      </c>
      <c r="B234" s="415">
        <f>B254</f>
        <v>4.2000000000000003E-2</v>
      </c>
      <c r="C234" s="188" t="s">
        <v>609</v>
      </c>
      <c r="D234" s="408" t="s">
        <v>2</v>
      </c>
      <c r="E234" s="188" t="s">
        <v>29</v>
      </c>
      <c r="F234" s="37" t="s">
        <v>14</v>
      </c>
      <c r="G234" s="188" t="s">
        <v>33</v>
      </c>
      <c r="H234" s="188">
        <v>1</v>
      </c>
      <c r="I234" s="415">
        <f t="shared" si="23"/>
        <v>4.2000000000000003E-2</v>
      </c>
      <c r="J234" s="188" t="s">
        <v>31</v>
      </c>
      <c r="K234" s="188" t="s">
        <v>31</v>
      </c>
      <c r="L234" s="188" t="s">
        <v>31</v>
      </c>
      <c r="M234" s="188" t="s">
        <v>31</v>
      </c>
      <c r="O234" s="471" t="s">
        <v>823</v>
      </c>
      <c r="P234" s="472"/>
    </row>
    <row r="235" spans="1:16">
      <c r="A235" s="188" t="s">
        <v>1282</v>
      </c>
      <c r="B235" s="415">
        <f>B242</f>
        <v>7.340000000000001E-3</v>
      </c>
      <c r="C235" s="188" t="s">
        <v>609</v>
      </c>
      <c r="D235" s="408" t="s">
        <v>2</v>
      </c>
      <c r="E235" s="188" t="s">
        <v>29</v>
      </c>
      <c r="F235" s="37" t="s">
        <v>14</v>
      </c>
      <c r="G235" s="188" t="s">
        <v>33</v>
      </c>
      <c r="H235" s="188">
        <v>1</v>
      </c>
      <c r="I235" s="415">
        <f t="shared" si="23"/>
        <v>7.340000000000001E-3</v>
      </c>
      <c r="J235" s="188" t="s">
        <v>31</v>
      </c>
      <c r="K235" s="188" t="s">
        <v>31</v>
      </c>
      <c r="L235" s="188" t="s">
        <v>31</v>
      </c>
      <c r="M235" s="188" t="s">
        <v>31</v>
      </c>
      <c r="O235" s="400" t="s">
        <v>823</v>
      </c>
      <c r="P235" s="469"/>
    </row>
    <row r="236" spans="1:16" ht="14.45">
      <c r="A236" s="346" t="s">
        <v>269</v>
      </c>
      <c r="B236" s="415">
        <f>P236</f>
        <v>1.02</v>
      </c>
      <c r="C236" s="188" t="s">
        <v>39</v>
      </c>
      <c r="D236" s="188" t="s">
        <v>40</v>
      </c>
      <c r="E236" s="188" t="s">
        <v>29</v>
      </c>
      <c r="F236" s="37" t="s">
        <v>35</v>
      </c>
      <c r="G236" s="188" t="s">
        <v>33</v>
      </c>
      <c r="H236" s="188">
        <v>2</v>
      </c>
      <c r="I236" s="188">
        <f t="shared" ref="I236" si="24">LN(B236)</f>
        <v>1.980262729617973E-2</v>
      </c>
      <c r="J236" s="188">
        <v>0.20928449536456342</v>
      </c>
      <c r="K236" s="188" t="s">
        <v>31</v>
      </c>
      <c r="L236" s="188" t="s">
        <v>31</v>
      </c>
      <c r="M236" s="188" t="s">
        <v>31</v>
      </c>
      <c r="O236" s="401" t="s">
        <v>248</v>
      </c>
      <c r="P236" s="138">
        <v>1.02</v>
      </c>
    </row>
    <row r="237" spans="1:16" s="353" customFormat="1">
      <c r="A237" s="370" t="s">
        <v>5</v>
      </c>
      <c r="B237" s="446" t="s">
        <v>1282</v>
      </c>
      <c r="C237" s="372"/>
    </row>
    <row r="238" spans="1:16">
      <c r="A238" s="346" t="s">
        <v>7</v>
      </c>
      <c r="B238" s="188" t="s">
        <v>786</v>
      </c>
      <c r="C238" s="345"/>
    </row>
    <row r="239" spans="1:16">
      <c r="A239" s="424" t="s">
        <v>9</v>
      </c>
      <c r="B239" s="188" t="s">
        <v>1283</v>
      </c>
      <c r="C239" s="345"/>
    </row>
    <row r="240" spans="1:16" ht="15.75" customHeight="1">
      <c r="A240" s="346" t="s">
        <v>11</v>
      </c>
      <c r="B240" s="347" t="s">
        <v>796</v>
      </c>
    </row>
    <row r="241" spans="1:19">
      <c r="A241" s="346" t="s">
        <v>13</v>
      </c>
      <c r="B241" s="188" t="s">
        <v>14</v>
      </c>
    </row>
    <row r="242" spans="1:19">
      <c r="A242" s="346" t="s">
        <v>15</v>
      </c>
      <c r="B242" s="415">
        <f>B247</f>
        <v>7.340000000000001E-3</v>
      </c>
    </row>
    <row r="243" spans="1:19">
      <c r="A243" s="346" t="s">
        <v>16</v>
      </c>
      <c r="B243" s="188" t="s">
        <v>17</v>
      </c>
    </row>
    <row r="244" spans="1:19">
      <c r="A244" s="346" t="s">
        <v>18</v>
      </c>
      <c r="B244" s="188" t="s">
        <v>609</v>
      </c>
    </row>
    <row r="245" spans="1:19">
      <c r="A245" s="343" t="s">
        <v>19</v>
      </c>
    </row>
    <row r="246" spans="1:19">
      <c r="A246" s="344" t="s">
        <v>20</v>
      </c>
      <c r="B246" s="344" t="s">
        <v>21</v>
      </c>
      <c r="C246" s="344" t="s">
        <v>18</v>
      </c>
      <c r="D246" s="344" t="s">
        <v>22</v>
      </c>
      <c r="E246" s="344" t="s">
        <v>7</v>
      </c>
      <c r="F246" s="344" t="s">
        <v>13</v>
      </c>
      <c r="G246" s="344" t="s">
        <v>16</v>
      </c>
      <c r="H246" s="344" t="s">
        <v>23</v>
      </c>
      <c r="I246" s="344" t="s">
        <v>24</v>
      </c>
      <c r="J246" s="344" t="s">
        <v>25</v>
      </c>
      <c r="K246" s="344" t="s">
        <v>26</v>
      </c>
      <c r="L246" s="344" t="s">
        <v>27</v>
      </c>
      <c r="M246" s="344" t="s">
        <v>28</v>
      </c>
      <c r="N246" s="344" t="s">
        <v>11</v>
      </c>
    </row>
    <row r="247" spans="1:19">
      <c r="A247" s="188" t="s">
        <v>1282</v>
      </c>
      <c r="B247" s="415">
        <f>S247</f>
        <v>7.340000000000001E-3</v>
      </c>
      <c r="C247" s="188" t="s">
        <v>609</v>
      </c>
      <c r="D247" s="408" t="s">
        <v>2</v>
      </c>
      <c r="E247" s="188" t="s">
        <v>29</v>
      </c>
      <c r="F247" s="37" t="s">
        <v>14</v>
      </c>
      <c r="G247" s="188" t="s">
        <v>30</v>
      </c>
      <c r="H247" s="188">
        <v>1</v>
      </c>
      <c r="I247" s="415">
        <f>B247</f>
        <v>7.340000000000001E-3</v>
      </c>
      <c r="J247" s="188" t="s">
        <v>31</v>
      </c>
      <c r="K247" s="188" t="s">
        <v>31</v>
      </c>
      <c r="L247" s="188" t="s">
        <v>31</v>
      </c>
      <c r="M247" s="188" t="s">
        <v>31</v>
      </c>
      <c r="P247" s="401" t="s">
        <v>1125</v>
      </c>
      <c r="Q247" s="455">
        <v>73.400000000000006</v>
      </c>
      <c r="R247" s="188" t="s">
        <v>610</v>
      </c>
      <c r="S247" s="188">
        <f>Q247*0.0001</f>
        <v>7.340000000000001E-3</v>
      </c>
    </row>
    <row r="248" spans="1:19">
      <c r="A248" s="88" t="s">
        <v>947</v>
      </c>
      <c r="B248" s="415">
        <f>S248</f>
        <v>7.340000000000001E-3</v>
      </c>
      <c r="C248" s="188" t="s">
        <v>609</v>
      </c>
      <c r="D248" s="188" t="s">
        <v>40</v>
      </c>
      <c r="E248" s="188" t="s">
        <v>29</v>
      </c>
      <c r="F248" s="188" t="s">
        <v>59</v>
      </c>
      <c r="G248" s="188" t="s">
        <v>33</v>
      </c>
      <c r="H248" s="188">
        <v>2</v>
      </c>
      <c r="I248" s="188">
        <f>LN(B248)</f>
        <v>-4.9144164363557126</v>
      </c>
      <c r="J248" s="188">
        <v>3.7749172176353707E-2</v>
      </c>
      <c r="K248" s="188" t="s">
        <v>31</v>
      </c>
      <c r="L248" s="188" t="s">
        <v>31</v>
      </c>
      <c r="M248" s="188" t="s">
        <v>31</v>
      </c>
      <c r="P248" s="400" t="s">
        <v>1125</v>
      </c>
      <c r="Q248" s="455">
        <v>73.400000000000006</v>
      </c>
      <c r="R248" s="188" t="s">
        <v>610</v>
      </c>
      <c r="S248" s="188">
        <f>Q248*0.0001</f>
        <v>7.340000000000001E-3</v>
      </c>
    </row>
    <row r="249" spans="1:19" s="353" customFormat="1">
      <c r="A249" s="370" t="s">
        <v>5</v>
      </c>
      <c r="B249" s="371" t="s">
        <v>1281</v>
      </c>
    </row>
    <row r="250" spans="1:19">
      <c r="A250" s="346" t="s">
        <v>7</v>
      </c>
      <c r="B250" s="188" t="s">
        <v>786</v>
      </c>
      <c r="C250" s="345"/>
    </row>
    <row r="251" spans="1:19">
      <c r="A251" s="424" t="s">
        <v>9</v>
      </c>
      <c r="B251" s="188" t="s">
        <v>1284</v>
      </c>
      <c r="C251" s="345"/>
    </row>
    <row r="252" spans="1:19" ht="15.75" customHeight="1">
      <c r="A252" s="346" t="s">
        <v>11</v>
      </c>
      <c r="B252" s="347" t="s">
        <v>796</v>
      </c>
    </row>
    <row r="253" spans="1:19">
      <c r="A253" s="346" t="s">
        <v>13</v>
      </c>
      <c r="B253" s="188" t="s">
        <v>14</v>
      </c>
    </row>
    <row r="254" spans="1:19">
      <c r="A254" s="346" t="s">
        <v>15</v>
      </c>
      <c r="B254" s="415">
        <f>B259</f>
        <v>4.2000000000000003E-2</v>
      </c>
    </row>
    <row r="255" spans="1:19">
      <c r="A255" s="346" t="s">
        <v>16</v>
      </c>
      <c r="B255" s="188" t="s">
        <v>17</v>
      </c>
    </row>
    <row r="256" spans="1:19">
      <c r="A256" s="346" t="s">
        <v>18</v>
      </c>
      <c r="B256" s="188" t="s">
        <v>609</v>
      </c>
    </row>
    <row r="257" spans="1:18">
      <c r="A257" s="343" t="s">
        <v>19</v>
      </c>
    </row>
    <row r="258" spans="1:18">
      <c r="A258" s="344" t="s">
        <v>20</v>
      </c>
      <c r="B258" s="344" t="s">
        <v>21</v>
      </c>
      <c r="C258" s="344" t="s">
        <v>18</v>
      </c>
      <c r="D258" s="344" t="s">
        <v>22</v>
      </c>
      <c r="E258" s="344" t="s">
        <v>7</v>
      </c>
      <c r="F258" s="344" t="s">
        <v>13</v>
      </c>
      <c r="G258" s="344" t="s">
        <v>16</v>
      </c>
      <c r="H258" s="344" t="s">
        <v>23</v>
      </c>
      <c r="I258" s="344" t="s">
        <v>24</v>
      </c>
      <c r="J258" s="344" t="s">
        <v>25</v>
      </c>
      <c r="K258" s="344" t="s">
        <v>26</v>
      </c>
      <c r="L258" s="344" t="s">
        <v>27</v>
      </c>
      <c r="M258" s="344" t="s">
        <v>28</v>
      </c>
      <c r="N258" s="344" t="s">
        <v>11</v>
      </c>
    </row>
    <row r="259" spans="1:18">
      <c r="A259" s="188" t="s">
        <v>1281</v>
      </c>
      <c r="B259" s="415">
        <f>B260</f>
        <v>4.2000000000000003E-2</v>
      </c>
      <c r="C259" s="188" t="s">
        <v>609</v>
      </c>
      <c r="D259" s="408" t="s">
        <v>2</v>
      </c>
      <c r="E259" s="188" t="s">
        <v>29</v>
      </c>
      <c r="F259" s="37" t="s">
        <v>14</v>
      </c>
      <c r="G259" s="188" t="s">
        <v>30</v>
      </c>
      <c r="H259" s="188">
        <v>1</v>
      </c>
      <c r="I259" s="415">
        <f t="shared" ref="I259:I260" si="25">B259</f>
        <v>4.2000000000000003E-2</v>
      </c>
      <c r="J259" s="188" t="s">
        <v>31</v>
      </c>
      <c r="K259" s="188" t="s">
        <v>31</v>
      </c>
      <c r="L259" s="188" t="s">
        <v>31</v>
      </c>
      <c r="M259" s="188" t="s">
        <v>31</v>
      </c>
    </row>
    <row r="260" spans="1:18">
      <c r="A260" s="188" t="s">
        <v>1285</v>
      </c>
      <c r="B260" s="415">
        <f>P260</f>
        <v>4.2000000000000003E-2</v>
      </c>
      <c r="C260" s="188" t="s">
        <v>609</v>
      </c>
      <c r="D260" s="408" t="s">
        <v>2</v>
      </c>
      <c r="E260" s="188" t="s">
        <v>29</v>
      </c>
      <c r="F260" s="188" t="s">
        <v>14</v>
      </c>
      <c r="G260" s="188" t="s">
        <v>33</v>
      </c>
      <c r="H260" s="188">
        <v>1</v>
      </c>
      <c r="I260" s="415">
        <f t="shared" si="25"/>
        <v>4.2000000000000003E-2</v>
      </c>
      <c r="J260" s="188" t="s">
        <v>31</v>
      </c>
      <c r="K260" s="188" t="s">
        <v>31</v>
      </c>
      <c r="L260" s="188" t="s">
        <v>31</v>
      </c>
      <c r="M260" s="188" t="s">
        <v>31</v>
      </c>
      <c r="P260" s="415">
        <v>4.2000000000000003E-2</v>
      </c>
    </row>
    <row r="261" spans="1:18">
      <c r="A261" s="346" t="s">
        <v>269</v>
      </c>
      <c r="B261" s="350">
        <f>R261</f>
        <v>0.38</v>
      </c>
      <c r="C261" s="188" t="s">
        <v>39</v>
      </c>
      <c r="D261" s="188" t="s">
        <v>40</v>
      </c>
      <c r="E261" s="188" t="s">
        <v>29</v>
      </c>
      <c r="F261" s="37" t="s">
        <v>35</v>
      </c>
      <c r="G261" s="188" t="s">
        <v>33</v>
      </c>
      <c r="H261" s="188">
        <v>2</v>
      </c>
      <c r="I261" s="188">
        <f t="shared" ref="I261:I265" si="26">LN(B261)</f>
        <v>-0.96758402626170559</v>
      </c>
      <c r="J261" s="188">
        <v>0.20928449536456342</v>
      </c>
      <c r="K261" s="188" t="s">
        <v>31</v>
      </c>
      <c r="L261" s="188" t="s">
        <v>31</v>
      </c>
      <c r="M261" s="188" t="s">
        <v>31</v>
      </c>
      <c r="O261" s="383" t="s">
        <v>248</v>
      </c>
      <c r="P261" s="414">
        <v>0.38</v>
      </c>
      <c r="Q261" s="188" t="s">
        <v>248</v>
      </c>
      <c r="R261" s="350">
        <f>P261</f>
        <v>0.38</v>
      </c>
    </row>
    <row r="262" spans="1:18">
      <c r="A262" s="88" t="s">
        <v>798</v>
      </c>
      <c r="B262" s="188">
        <f>R262</f>
        <v>1.1800000000000001E-2</v>
      </c>
      <c r="C262" s="188" t="s">
        <v>37</v>
      </c>
      <c r="D262" s="188" t="s">
        <v>40</v>
      </c>
      <c r="E262" s="188" t="s">
        <v>29</v>
      </c>
      <c r="F262" s="37" t="s">
        <v>35</v>
      </c>
      <c r="G262" s="188" t="s">
        <v>33</v>
      </c>
      <c r="H262" s="188">
        <v>2</v>
      </c>
      <c r="I262" s="188">
        <f t="shared" si="26"/>
        <v>-4.4396557475105176</v>
      </c>
      <c r="J262" s="188">
        <v>0.20928449536456342</v>
      </c>
      <c r="K262" s="188" t="s">
        <v>31</v>
      </c>
      <c r="L262" s="188" t="s">
        <v>31</v>
      </c>
      <c r="M262" s="188" t="s">
        <v>31</v>
      </c>
      <c r="O262" s="401" t="s">
        <v>580</v>
      </c>
      <c r="P262" s="414">
        <v>11.8</v>
      </c>
      <c r="Q262" s="188" t="s">
        <v>241</v>
      </c>
      <c r="R262" s="188">
        <f>0.001*P262</f>
        <v>1.1800000000000001E-2</v>
      </c>
    </row>
    <row r="263" spans="1:18">
      <c r="A263" s="88" t="s">
        <v>308</v>
      </c>
      <c r="B263" s="188">
        <f>R263</f>
        <v>1.8000000000000002E-3</v>
      </c>
      <c r="C263" s="188" t="s">
        <v>37</v>
      </c>
      <c r="D263" s="188" t="s">
        <v>40</v>
      </c>
      <c r="E263" s="188" t="s">
        <v>29</v>
      </c>
      <c r="F263" s="37" t="s">
        <v>59</v>
      </c>
      <c r="G263" s="188" t="s">
        <v>33</v>
      </c>
      <c r="H263" s="188">
        <v>2</v>
      </c>
      <c r="I263" s="188">
        <f t="shared" si="26"/>
        <v>-6.3199686140800182</v>
      </c>
      <c r="J263" s="188">
        <v>0.20928449536456342</v>
      </c>
      <c r="K263" s="188" t="s">
        <v>31</v>
      </c>
      <c r="L263" s="188" t="s">
        <v>31</v>
      </c>
      <c r="M263" s="188" t="s">
        <v>31</v>
      </c>
      <c r="O263" s="401" t="s">
        <v>580</v>
      </c>
      <c r="P263" s="414">
        <v>1.8</v>
      </c>
      <c r="Q263" s="188" t="s">
        <v>241</v>
      </c>
      <c r="R263" s="188">
        <f>0.001*P263</f>
        <v>1.8000000000000002E-3</v>
      </c>
    </row>
    <row r="264" spans="1:18">
      <c r="A264" s="346" t="s">
        <v>799</v>
      </c>
      <c r="B264" s="188">
        <f>R264</f>
        <v>5.79E-2</v>
      </c>
      <c r="C264" s="188" t="s">
        <v>37</v>
      </c>
      <c r="D264" s="188" t="s">
        <v>40</v>
      </c>
      <c r="E264" s="188" t="s">
        <v>29</v>
      </c>
      <c r="F264" s="37" t="s">
        <v>74</v>
      </c>
      <c r="G264" s="188" t="s">
        <v>33</v>
      </c>
      <c r="H264" s="188">
        <v>2</v>
      </c>
      <c r="I264" s="188">
        <f t="shared" si="26"/>
        <v>-2.8490378944031876</v>
      </c>
      <c r="J264" s="188">
        <v>0.20928449536456342</v>
      </c>
      <c r="K264" s="188" t="s">
        <v>31</v>
      </c>
      <c r="L264" s="188" t="s">
        <v>31</v>
      </c>
      <c r="M264" s="188" t="s">
        <v>31</v>
      </c>
      <c r="O264" s="401" t="s">
        <v>580</v>
      </c>
      <c r="P264" s="414">
        <v>57.9</v>
      </c>
      <c r="Q264" s="188" t="s">
        <v>241</v>
      </c>
      <c r="R264" s="188">
        <f>0.001*P264</f>
        <v>5.79E-2</v>
      </c>
    </row>
    <row r="265" spans="1:18">
      <c r="A265" s="188" t="s">
        <v>784</v>
      </c>
      <c r="B265" s="188">
        <f>R265</f>
        <v>1.3599999999999999E-2</v>
      </c>
      <c r="C265" s="188" t="s">
        <v>37</v>
      </c>
      <c r="D265" s="408" t="s">
        <v>2</v>
      </c>
      <c r="E265" s="188" t="s">
        <v>29</v>
      </c>
      <c r="F265" s="37" t="s">
        <v>74</v>
      </c>
      <c r="G265" s="188" t="s">
        <v>33</v>
      </c>
      <c r="H265" s="188">
        <v>2</v>
      </c>
      <c r="I265" s="188">
        <f t="shared" si="26"/>
        <v>-4.2976854862401304</v>
      </c>
      <c r="J265" s="188">
        <v>0.20928449536456342</v>
      </c>
      <c r="K265" s="188" t="s">
        <v>31</v>
      </c>
      <c r="L265" s="188" t="s">
        <v>31</v>
      </c>
      <c r="M265" s="188" t="s">
        <v>31</v>
      </c>
      <c r="O265" s="447" t="s">
        <v>580</v>
      </c>
      <c r="P265" s="419">
        <v>13.6</v>
      </c>
      <c r="Q265" s="188" t="s">
        <v>241</v>
      </c>
      <c r="R265" s="188">
        <f>0.001*P265</f>
        <v>1.3599999999999999E-2</v>
      </c>
    </row>
    <row r="266" spans="1:18" s="353" customFormat="1">
      <c r="A266" s="370" t="s">
        <v>5</v>
      </c>
      <c r="B266" s="371" t="s">
        <v>1285</v>
      </c>
    </row>
    <row r="267" spans="1:18">
      <c r="A267" s="346" t="s">
        <v>7</v>
      </c>
      <c r="B267" s="188" t="s">
        <v>786</v>
      </c>
      <c r="C267" s="345"/>
    </row>
    <row r="268" spans="1:18">
      <c r="A268" s="424" t="s">
        <v>9</v>
      </c>
      <c r="B268" s="188" t="s">
        <v>1286</v>
      </c>
      <c r="C268" s="345"/>
    </row>
    <row r="269" spans="1:18" ht="15.75" customHeight="1">
      <c r="A269" s="346" t="s">
        <v>11</v>
      </c>
      <c r="B269" s="347" t="s">
        <v>796</v>
      </c>
    </row>
    <row r="270" spans="1:18">
      <c r="A270" s="346" t="s">
        <v>13</v>
      </c>
      <c r="B270" s="188" t="s">
        <v>14</v>
      </c>
    </row>
    <row r="271" spans="1:18">
      <c r="A271" s="346" t="s">
        <v>15</v>
      </c>
      <c r="B271" s="415">
        <f>B276</f>
        <v>4.2000000000000003E-2</v>
      </c>
    </row>
    <row r="272" spans="1:18">
      <c r="A272" s="346" t="s">
        <v>16</v>
      </c>
      <c r="B272" s="188" t="s">
        <v>17</v>
      </c>
    </row>
    <row r="273" spans="1:18">
      <c r="A273" s="346" t="s">
        <v>18</v>
      </c>
      <c r="B273" s="188" t="s">
        <v>609</v>
      </c>
    </row>
    <row r="274" spans="1:18">
      <c r="A274" s="343" t="s">
        <v>19</v>
      </c>
    </row>
    <row r="275" spans="1:18">
      <c r="A275" s="344" t="s">
        <v>20</v>
      </c>
      <c r="B275" s="344" t="s">
        <v>21</v>
      </c>
      <c r="C275" s="344" t="s">
        <v>18</v>
      </c>
      <c r="D275" s="344" t="s">
        <v>22</v>
      </c>
      <c r="E275" s="344" t="s">
        <v>7</v>
      </c>
      <c r="F275" s="344" t="s">
        <v>13</v>
      </c>
      <c r="G275" s="344" t="s">
        <v>16</v>
      </c>
      <c r="H275" s="344" t="s">
        <v>23</v>
      </c>
      <c r="I275" s="344" t="s">
        <v>24</v>
      </c>
      <c r="J275" s="344" t="s">
        <v>25</v>
      </c>
      <c r="K275" s="344" t="s">
        <v>26</v>
      </c>
      <c r="L275" s="344" t="s">
        <v>27</v>
      </c>
      <c r="M275" s="344" t="s">
        <v>28</v>
      </c>
      <c r="N275" s="344" t="s">
        <v>11</v>
      </c>
    </row>
    <row r="276" spans="1:18">
      <c r="A276" s="188" t="s">
        <v>1285</v>
      </c>
      <c r="B276" s="415">
        <f>P277</f>
        <v>4.2000000000000003E-2</v>
      </c>
      <c r="C276" s="188" t="s">
        <v>609</v>
      </c>
      <c r="D276" s="408" t="s">
        <v>2</v>
      </c>
      <c r="E276" s="188" t="s">
        <v>29</v>
      </c>
      <c r="F276" s="188" t="s">
        <v>14</v>
      </c>
      <c r="G276" s="188" t="s">
        <v>30</v>
      </c>
      <c r="H276" s="188">
        <v>1</v>
      </c>
      <c r="I276" s="415">
        <f t="shared" ref="I276:I277" si="27">B276</f>
        <v>4.2000000000000003E-2</v>
      </c>
      <c r="J276" s="188" t="s">
        <v>31</v>
      </c>
      <c r="K276" s="188" t="s">
        <v>31</v>
      </c>
      <c r="L276" s="188" t="s">
        <v>31</v>
      </c>
      <c r="M276" s="188" t="s">
        <v>31</v>
      </c>
    </row>
    <row r="277" spans="1:18">
      <c r="A277" s="188" t="s">
        <v>1287</v>
      </c>
      <c r="B277" s="415">
        <f>P277</f>
        <v>4.2000000000000003E-2</v>
      </c>
      <c r="C277" s="188" t="s">
        <v>609</v>
      </c>
      <c r="D277" s="408" t="s">
        <v>2</v>
      </c>
      <c r="E277" s="188" t="s">
        <v>29</v>
      </c>
      <c r="F277" s="188" t="s">
        <v>14</v>
      </c>
      <c r="G277" s="188" t="s">
        <v>33</v>
      </c>
      <c r="H277" s="188">
        <v>1</v>
      </c>
      <c r="I277" s="415">
        <f t="shared" si="27"/>
        <v>4.2000000000000003E-2</v>
      </c>
      <c r="J277" s="188" t="s">
        <v>31</v>
      </c>
      <c r="K277" s="188" t="s">
        <v>31</v>
      </c>
      <c r="L277" s="188" t="s">
        <v>31</v>
      </c>
      <c r="M277" s="188" t="s">
        <v>31</v>
      </c>
      <c r="P277" s="470">
        <v>4.2000000000000003E-2</v>
      </c>
    </row>
    <row r="278" spans="1:18">
      <c r="A278" s="346" t="s">
        <v>269</v>
      </c>
      <c r="B278" s="350">
        <f>P278</f>
        <v>8.14</v>
      </c>
      <c r="C278" s="188" t="s">
        <v>39</v>
      </c>
      <c r="D278" s="188" t="s">
        <v>40</v>
      </c>
      <c r="E278" s="188" t="s">
        <v>29</v>
      </c>
      <c r="F278" s="37" t="s">
        <v>35</v>
      </c>
      <c r="G278" s="188" t="s">
        <v>33</v>
      </c>
      <c r="H278" s="188">
        <v>2</v>
      </c>
      <c r="I278" s="188">
        <f t="shared" ref="I278:I279" si="28">LN(B278)</f>
        <v>2.0967901800144491</v>
      </c>
      <c r="J278" s="188">
        <v>0.20928449536456342</v>
      </c>
      <c r="K278" s="188" t="s">
        <v>31</v>
      </c>
      <c r="L278" s="188" t="s">
        <v>31</v>
      </c>
      <c r="M278" s="188" t="s">
        <v>31</v>
      </c>
      <c r="O278" s="401" t="s">
        <v>248</v>
      </c>
      <c r="P278" s="414">
        <f>5.61+2.53</f>
        <v>8.14</v>
      </c>
    </row>
    <row r="279" spans="1:18">
      <c r="A279" s="346" t="s">
        <v>799</v>
      </c>
      <c r="B279" s="350">
        <f>R279</f>
        <v>1.6300000000000002E-2</v>
      </c>
      <c r="C279" s="188" t="s">
        <v>37</v>
      </c>
      <c r="D279" s="188" t="s">
        <v>40</v>
      </c>
      <c r="E279" s="188" t="s">
        <v>29</v>
      </c>
      <c r="F279" s="37" t="s">
        <v>74</v>
      </c>
      <c r="G279" s="188" t="s">
        <v>33</v>
      </c>
      <c r="H279" s="188">
        <v>2</v>
      </c>
      <c r="I279" s="188">
        <f t="shared" si="28"/>
        <v>-4.1165901711694204</v>
      </c>
      <c r="J279" s="188">
        <v>0.20928449536456342</v>
      </c>
      <c r="K279" s="188" t="s">
        <v>31</v>
      </c>
      <c r="L279" s="188" t="s">
        <v>31</v>
      </c>
      <c r="M279" s="188" t="s">
        <v>31</v>
      </c>
      <c r="O279" s="401" t="s">
        <v>580</v>
      </c>
      <c r="P279" s="414">
        <v>16.3</v>
      </c>
      <c r="Q279" s="188" t="s">
        <v>241</v>
      </c>
      <c r="R279" s="188">
        <f>P279*0.001</f>
        <v>1.6300000000000002E-2</v>
      </c>
    </row>
    <row r="280" spans="1:18">
      <c r="A280" s="88" t="s">
        <v>545</v>
      </c>
      <c r="B280" s="350">
        <f>R280</f>
        <v>1.9899999999999998E-2</v>
      </c>
      <c r="C280" s="188" t="s">
        <v>37</v>
      </c>
      <c r="D280" s="188" t="s">
        <v>40</v>
      </c>
      <c r="E280" s="188" t="s">
        <v>29</v>
      </c>
      <c r="F280" s="188" t="s">
        <v>35</v>
      </c>
      <c r="G280" s="188" t="s">
        <v>33</v>
      </c>
      <c r="H280" s="188">
        <v>2</v>
      </c>
      <c r="I280" s="188">
        <f>LN(B280)</f>
        <v>-3.9170355472516905</v>
      </c>
      <c r="J280" s="188">
        <v>0.20928449536456342</v>
      </c>
      <c r="K280" s="188" t="s">
        <v>31</v>
      </c>
      <c r="L280" s="188" t="s">
        <v>31</v>
      </c>
      <c r="M280" s="188" t="s">
        <v>31</v>
      </c>
      <c r="O280" s="401" t="s">
        <v>580</v>
      </c>
      <c r="P280" s="414">
        <v>19.899999999999999</v>
      </c>
      <c r="Q280" s="188" t="s">
        <v>241</v>
      </c>
      <c r="R280" s="188">
        <f>P280*0.001</f>
        <v>1.9899999999999998E-2</v>
      </c>
    </row>
    <row r="281" spans="1:18">
      <c r="A281" s="188" t="s">
        <v>784</v>
      </c>
      <c r="B281" s="350">
        <f>R281</f>
        <v>1.9899999999999998E-2</v>
      </c>
      <c r="C281" s="188" t="s">
        <v>37</v>
      </c>
      <c r="D281" s="408" t="s">
        <v>2</v>
      </c>
      <c r="E281" s="188" t="s">
        <v>29</v>
      </c>
      <c r="F281" s="37" t="s">
        <v>74</v>
      </c>
      <c r="G281" s="188" t="s">
        <v>33</v>
      </c>
      <c r="H281" s="188">
        <v>2</v>
      </c>
      <c r="I281" s="188">
        <f t="shared" ref="I281" si="29">LN(B281)</f>
        <v>-3.9170355472516905</v>
      </c>
      <c r="J281" s="188">
        <v>0.20928449536456342</v>
      </c>
      <c r="K281" s="188" t="s">
        <v>31</v>
      </c>
      <c r="L281" s="188" t="s">
        <v>31</v>
      </c>
      <c r="M281" s="188" t="s">
        <v>31</v>
      </c>
      <c r="O281" s="447" t="s">
        <v>580</v>
      </c>
      <c r="P281" s="419">
        <v>19.899999999999999</v>
      </c>
      <c r="Q281" s="188" t="s">
        <v>241</v>
      </c>
      <c r="R281" s="188">
        <f>0.001*P281</f>
        <v>1.9899999999999998E-2</v>
      </c>
    </row>
    <row r="282" spans="1:18" s="353" customFormat="1">
      <c r="A282" s="370" t="s">
        <v>5</v>
      </c>
      <c r="B282" s="371" t="s">
        <v>1287</v>
      </c>
      <c r="P282" s="437"/>
    </row>
    <row r="283" spans="1:18">
      <c r="A283" s="346" t="s">
        <v>7</v>
      </c>
      <c r="B283" s="188" t="s">
        <v>786</v>
      </c>
      <c r="C283" s="345"/>
    </row>
    <row r="284" spans="1:18">
      <c r="A284" s="424" t="s">
        <v>9</v>
      </c>
      <c r="B284" s="188" t="s">
        <v>1288</v>
      </c>
      <c r="C284" s="345"/>
    </row>
    <row r="285" spans="1:18" ht="15.75" customHeight="1">
      <c r="A285" s="346" t="s">
        <v>11</v>
      </c>
      <c r="B285" s="347" t="s">
        <v>796</v>
      </c>
    </row>
    <row r="286" spans="1:18">
      <c r="A286" s="346" t="s">
        <v>13</v>
      </c>
      <c r="B286" s="188" t="s">
        <v>14</v>
      </c>
    </row>
    <row r="287" spans="1:18">
      <c r="A287" s="346" t="s">
        <v>15</v>
      </c>
      <c r="B287" s="415">
        <f>B292</f>
        <v>0.08</v>
      </c>
    </row>
    <row r="288" spans="1:18">
      <c r="A288" s="346" t="s">
        <v>16</v>
      </c>
      <c r="B288" s="188" t="s">
        <v>17</v>
      </c>
      <c r="R288" s="344" t="s">
        <v>885</v>
      </c>
    </row>
    <row r="289" spans="1:21">
      <c r="A289" s="346" t="s">
        <v>18</v>
      </c>
      <c r="B289" s="188" t="s">
        <v>609</v>
      </c>
      <c r="R289" s="188" t="s">
        <v>886</v>
      </c>
      <c r="S289" s="188">
        <v>8900</v>
      </c>
      <c r="T289" s="188" t="s">
        <v>887</v>
      </c>
    </row>
    <row r="290" spans="1:21">
      <c r="A290" s="343" t="s">
        <v>19</v>
      </c>
      <c r="R290" s="188" t="s">
        <v>888</v>
      </c>
      <c r="S290" s="188">
        <f>5*10^-6</f>
        <v>4.9999999999999996E-6</v>
      </c>
      <c r="T290" s="188" t="s">
        <v>889</v>
      </c>
    </row>
    <row r="291" spans="1:21">
      <c r="A291" s="344" t="s">
        <v>20</v>
      </c>
      <c r="B291" s="344" t="s">
        <v>21</v>
      </c>
      <c r="C291" s="344" t="s">
        <v>18</v>
      </c>
      <c r="D291" s="344" t="s">
        <v>22</v>
      </c>
      <c r="E291" s="344" t="s">
        <v>7</v>
      </c>
      <c r="F291" s="344" t="s">
        <v>13</v>
      </c>
      <c r="G291" s="344" t="s">
        <v>16</v>
      </c>
      <c r="H291" s="344" t="s">
        <v>23</v>
      </c>
      <c r="I291" s="344" t="s">
        <v>24</v>
      </c>
      <c r="J291" s="344" t="s">
        <v>25</v>
      </c>
      <c r="K291" s="344" t="s">
        <v>26</v>
      </c>
      <c r="L291" s="344" t="s">
        <v>27</v>
      </c>
      <c r="M291" s="344" t="s">
        <v>28</v>
      </c>
      <c r="N291" s="344" t="s">
        <v>11</v>
      </c>
      <c r="R291" s="427" t="s">
        <v>890</v>
      </c>
      <c r="S291" s="428">
        <f>S290*S289</f>
        <v>4.4499999999999998E-2</v>
      </c>
      <c r="T291" s="429" t="s">
        <v>891</v>
      </c>
    </row>
    <row r="292" spans="1:21">
      <c r="A292" s="188" t="s">
        <v>1287</v>
      </c>
      <c r="B292" s="415">
        <v>0.08</v>
      </c>
      <c r="C292" s="188" t="s">
        <v>609</v>
      </c>
      <c r="D292" s="408" t="s">
        <v>2</v>
      </c>
      <c r="E292" s="188" t="s">
        <v>29</v>
      </c>
      <c r="F292" s="188" t="s">
        <v>14</v>
      </c>
      <c r="G292" s="188" t="s">
        <v>30</v>
      </c>
      <c r="H292" s="188">
        <v>1</v>
      </c>
      <c r="I292" s="415">
        <f t="shared" ref="I292:I294" si="30">B292</f>
        <v>0.08</v>
      </c>
      <c r="J292" s="188" t="s">
        <v>31</v>
      </c>
      <c r="K292" s="188" t="s">
        <v>31</v>
      </c>
      <c r="L292" s="188" t="s">
        <v>31</v>
      </c>
      <c r="M292" s="188" t="s">
        <v>31</v>
      </c>
      <c r="O292" s="401" t="s">
        <v>892</v>
      </c>
      <c r="P292" s="414">
        <f>B292*100</f>
        <v>8</v>
      </c>
    </row>
    <row r="293" spans="1:21">
      <c r="A293" s="188" t="s">
        <v>1289</v>
      </c>
      <c r="B293" s="415">
        <v>0.08</v>
      </c>
      <c r="C293" s="188" t="s">
        <v>609</v>
      </c>
      <c r="D293" s="408" t="s">
        <v>2</v>
      </c>
      <c r="E293" s="188" t="s">
        <v>29</v>
      </c>
      <c r="F293" s="188" t="s">
        <v>14</v>
      </c>
      <c r="G293" s="188" t="s">
        <v>33</v>
      </c>
      <c r="H293" s="188">
        <v>1</v>
      </c>
      <c r="I293" s="415">
        <f t="shared" si="30"/>
        <v>0.08</v>
      </c>
      <c r="J293" s="188">
        <v>7.2284161474004766E-2</v>
      </c>
      <c r="K293" s="188" t="s">
        <v>31</v>
      </c>
      <c r="L293" s="188" t="s">
        <v>31</v>
      </c>
      <c r="M293" s="188" t="s">
        <v>31</v>
      </c>
      <c r="O293" s="401" t="s">
        <v>892</v>
      </c>
      <c r="P293" s="414">
        <f>B293*100</f>
        <v>8</v>
      </c>
      <c r="R293" s="188" t="s">
        <v>554</v>
      </c>
      <c r="U293" s="410"/>
    </row>
    <row r="294" spans="1:21">
      <c r="A294" s="192" t="s">
        <v>1230</v>
      </c>
      <c r="B294" s="420">
        <f>T294</f>
        <v>6.6305000000000003E-2</v>
      </c>
      <c r="C294" s="188" t="s">
        <v>37</v>
      </c>
      <c r="D294" s="408" t="s">
        <v>2</v>
      </c>
      <c r="E294" s="188" t="s">
        <v>29</v>
      </c>
      <c r="F294" s="37" t="s">
        <v>14</v>
      </c>
      <c r="G294" s="188" t="s">
        <v>33</v>
      </c>
      <c r="H294" s="188">
        <v>1</v>
      </c>
      <c r="I294" s="415">
        <f t="shared" si="30"/>
        <v>6.6305000000000003E-2</v>
      </c>
      <c r="J294" s="188">
        <v>7.2284161474004766E-2</v>
      </c>
      <c r="K294" s="188" t="s">
        <v>31</v>
      </c>
      <c r="L294" s="188" t="s">
        <v>31</v>
      </c>
      <c r="M294" s="188" t="s">
        <v>31</v>
      </c>
      <c r="O294" s="432"/>
      <c r="P294" s="433"/>
      <c r="R294" s="430">
        <v>1.49</v>
      </c>
      <c r="S294" s="431" t="s">
        <v>610</v>
      </c>
      <c r="T294" s="430">
        <f>R294*S291</f>
        <v>6.6305000000000003E-2</v>
      </c>
      <c r="U294" s="431" t="s">
        <v>241</v>
      </c>
    </row>
    <row r="295" spans="1:21">
      <c r="A295" s="346" t="s">
        <v>799</v>
      </c>
      <c r="B295" s="188">
        <f>P295</f>
        <v>11.9</v>
      </c>
      <c r="C295" s="188" t="s">
        <v>37</v>
      </c>
      <c r="D295" s="188" t="s">
        <v>40</v>
      </c>
      <c r="E295" s="188" t="s">
        <v>29</v>
      </c>
      <c r="F295" s="37" t="s">
        <v>74</v>
      </c>
      <c r="G295" s="188" t="s">
        <v>33</v>
      </c>
      <c r="H295" s="188">
        <v>2</v>
      </c>
      <c r="I295" s="188">
        <f t="shared" ref="I295" si="31">LN(B295)</f>
        <v>2.4765384001174837</v>
      </c>
      <c r="J295" s="188">
        <v>7.2284161474004766E-2</v>
      </c>
      <c r="K295" s="188" t="s">
        <v>31</v>
      </c>
      <c r="L295" s="188" t="s">
        <v>31</v>
      </c>
      <c r="M295" s="188" t="s">
        <v>31</v>
      </c>
      <c r="O295" s="401" t="s">
        <v>241</v>
      </c>
      <c r="P295" s="414">
        <v>11.9</v>
      </c>
    </row>
    <row r="296" spans="1:21">
      <c r="A296" s="88" t="s">
        <v>874</v>
      </c>
      <c r="B296" s="350">
        <f>R296</f>
        <v>5.9999999999999997E-7</v>
      </c>
      <c r="C296" s="188" t="s">
        <v>37</v>
      </c>
      <c r="D296" s="188" t="s">
        <v>40</v>
      </c>
      <c r="E296" s="188" t="s">
        <v>29</v>
      </c>
      <c r="F296" s="37" t="s">
        <v>59</v>
      </c>
      <c r="G296" s="188" t="s">
        <v>33</v>
      </c>
      <c r="H296" s="188">
        <v>2</v>
      </c>
      <c r="I296" s="188">
        <f>LN(B296)</f>
        <v>-14.326336181730264</v>
      </c>
      <c r="J296" s="188">
        <v>7.2284161474004766E-2</v>
      </c>
      <c r="K296" s="188" t="s">
        <v>31</v>
      </c>
      <c r="L296" s="188" t="s">
        <v>31</v>
      </c>
      <c r="M296" s="188" t="s">
        <v>31</v>
      </c>
      <c r="O296" s="416" t="s">
        <v>538</v>
      </c>
      <c r="P296" s="439">
        <v>0.6</v>
      </c>
      <c r="Q296" s="401" t="s">
        <v>241</v>
      </c>
      <c r="R296" s="188">
        <f>P296*0.000001</f>
        <v>5.9999999999999997E-7</v>
      </c>
    </row>
    <row r="297" spans="1:21">
      <c r="A297" s="88" t="s">
        <v>76</v>
      </c>
      <c r="B297" s="188">
        <f>R297</f>
        <v>1.1900000000000001E-2</v>
      </c>
      <c r="C297" s="188" t="s">
        <v>42</v>
      </c>
      <c r="D297" s="188" t="s">
        <v>40</v>
      </c>
      <c r="E297" s="188" t="s">
        <v>29</v>
      </c>
      <c r="F297" s="37" t="s">
        <v>74</v>
      </c>
      <c r="G297" s="188" t="s">
        <v>33</v>
      </c>
      <c r="H297" s="188">
        <v>2</v>
      </c>
      <c r="I297" s="188">
        <f t="shared" ref="I297" si="32">LN(B297)</f>
        <v>-4.4312168788646531</v>
      </c>
      <c r="J297" s="188">
        <v>7.2284161474004766E-2</v>
      </c>
      <c r="K297" s="188" t="s">
        <v>31</v>
      </c>
      <c r="L297" s="188" t="s">
        <v>31</v>
      </c>
      <c r="M297" s="188" t="s">
        <v>31</v>
      </c>
      <c r="O297" s="418" t="s">
        <v>863</v>
      </c>
      <c r="P297" s="419">
        <v>11.9</v>
      </c>
      <c r="Q297" s="188" t="s">
        <v>251</v>
      </c>
      <c r="R297" s="188">
        <f>P297*0.001</f>
        <v>1.1900000000000001E-2</v>
      </c>
    </row>
    <row r="298" spans="1:21" s="353" customFormat="1">
      <c r="A298" s="370" t="s">
        <v>5</v>
      </c>
      <c r="B298" s="371" t="s">
        <v>1289</v>
      </c>
    </row>
    <row r="299" spans="1:21">
      <c r="A299" s="346" t="s">
        <v>7</v>
      </c>
      <c r="B299" s="188" t="s">
        <v>786</v>
      </c>
      <c r="C299" s="345"/>
    </row>
    <row r="300" spans="1:21">
      <c r="A300" s="424" t="s">
        <v>9</v>
      </c>
      <c r="B300" s="188" t="s">
        <v>1290</v>
      </c>
      <c r="C300" s="345"/>
    </row>
    <row r="301" spans="1:21" ht="15.75" customHeight="1">
      <c r="A301" s="346" t="s">
        <v>11</v>
      </c>
      <c r="B301" s="347" t="s">
        <v>796</v>
      </c>
    </row>
    <row r="302" spans="1:21">
      <c r="A302" s="346" t="s">
        <v>13</v>
      </c>
      <c r="B302" s="188" t="s">
        <v>14</v>
      </c>
    </row>
    <row r="303" spans="1:21">
      <c r="A303" s="346" t="s">
        <v>15</v>
      </c>
      <c r="B303" s="415">
        <f>B308</f>
        <v>4.2000000000000003E-2</v>
      </c>
    </row>
    <row r="304" spans="1:21">
      <c r="A304" s="346" t="s">
        <v>16</v>
      </c>
      <c r="B304" s="188" t="s">
        <v>17</v>
      </c>
    </row>
    <row r="305" spans="1:20">
      <c r="A305" s="346" t="s">
        <v>18</v>
      </c>
      <c r="B305" s="188" t="s">
        <v>609</v>
      </c>
    </row>
    <row r="306" spans="1:20">
      <c r="A306" s="343" t="s">
        <v>19</v>
      </c>
    </row>
    <row r="307" spans="1:20">
      <c r="A307" s="344" t="s">
        <v>20</v>
      </c>
      <c r="B307" s="344" t="s">
        <v>21</v>
      </c>
      <c r="C307" s="344" t="s">
        <v>18</v>
      </c>
      <c r="D307" s="344" t="s">
        <v>22</v>
      </c>
      <c r="E307" s="344" t="s">
        <v>7</v>
      </c>
      <c r="F307" s="344" t="s">
        <v>13</v>
      </c>
      <c r="G307" s="344" t="s">
        <v>16</v>
      </c>
      <c r="H307" s="344" t="s">
        <v>23</v>
      </c>
      <c r="I307" s="344" t="s">
        <v>24</v>
      </c>
      <c r="J307" s="344" t="s">
        <v>25</v>
      </c>
      <c r="K307" s="344" t="s">
        <v>26</v>
      </c>
      <c r="L307" s="344" t="s">
        <v>27</v>
      </c>
      <c r="M307" s="344" t="s">
        <v>28</v>
      </c>
      <c r="N307" s="344" t="s">
        <v>11</v>
      </c>
      <c r="T307" s="415"/>
    </row>
    <row r="308" spans="1:20">
      <c r="A308" s="188" t="s">
        <v>1289</v>
      </c>
      <c r="B308" s="415">
        <f t="shared" ref="B308:B318" si="33">P308</f>
        <v>4.2000000000000003E-2</v>
      </c>
      <c r="C308" s="188" t="s">
        <v>609</v>
      </c>
      <c r="D308" s="408" t="s">
        <v>2</v>
      </c>
      <c r="E308" s="188" t="s">
        <v>29</v>
      </c>
      <c r="F308" s="188" t="s">
        <v>14</v>
      </c>
      <c r="G308" s="188" t="s">
        <v>30</v>
      </c>
      <c r="H308" s="188">
        <v>1</v>
      </c>
      <c r="I308" s="415">
        <f t="shared" ref="I308:I309" si="34">B308</f>
        <v>4.2000000000000003E-2</v>
      </c>
      <c r="J308" s="188" t="s">
        <v>31</v>
      </c>
      <c r="K308" s="188" t="s">
        <v>31</v>
      </c>
      <c r="L308" s="188" t="s">
        <v>31</v>
      </c>
      <c r="M308" s="188" t="s">
        <v>31</v>
      </c>
      <c r="P308" s="469">
        <f>P309</f>
        <v>4.2000000000000003E-2</v>
      </c>
    </row>
    <row r="309" spans="1:20">
      <c r="A309" s="188" t="s">
        <v>1291</v>
      </c>
      <c r="B309" s="415">
        <f t="shared" si="33"/>
        <v>4.2000000000000003E-2</v>
      </c>
      <c r="C309" s="188" t="s">
        <v>609</v>
      </c>
      <c r="D309" s="408" t="s">
        <v>2</v>
      </c>
      <c r="E309" s="188" t="s">
        <v>29</v>
      </c>
      <c r="F309" s="188" t="s">
        <v>14</v>
      </c>
      <c r="G309" s="188" t="s">
        <v>33</v>
      </c>
      <c r="H309" s="188">
        <v>1</v>
      </c>
      <c r="I309" s="415">
        <f t="shared" si="34"/>
        <v>4.2000000000000003E-2</v>
      </c>
      <c r="J309" s="188" t="s">
        <v>31</v>
      </c>
      <c r="K309" s="188" t="s">
        <v>31</v>
      </c>
      <c r="L309" s="188" t="s">
        <v>31</v>
      </c>
      <c r="M309" s="188" t="s">
        <v>31</v>
      </c>
      <c r="P309" s="469">
        <f>P330</f>
        <v>4.2000000000000003E-2</v>
      </c>
    </row>
    <row r="310" spans="1:20">
      <c r="A310" s="346" t="s">
        <v>269</v>
      </c>
      <c r="B310" s="350">
        <f t="shared" si="33"/>
        <v>0.55000000000000004</v>
      </c>
      <c r="C310" s="188" t="s">
        <v>39</v>
      </c>
      <c r="D310" s="188" t="s">
        <v>40</v>
      </c>
      <c r="E310" s="188" t="s">
        <v>29</v>
      </c>
      <c r="F310" s="37" t="s">
        <v>35</v>
      </c>
      <c r="G310" s="188" t="s">
        <v>33</v>
      </c>
      <c r="H310" s="188">
        <v>2</v>
      </c>
      <c r="I310" s="188">
        <f t="shared" ref="I310" si="35">LN(B310)</f>
        <v>-0.59783700075562041</v>
      </c>
      <c r="J310" s="188">
        <v>0.22500000000000006</v>
      </c>
      <c r="K310" s="188" t="s">
        <v>31</v>
      </c>
      <c r="L310" s="188" t="s">
        <v>31</v>
      </c>
      <c r="M310" s="188" t="s">
        <v>31</v>
      </c>
      <c r="O310" s="401" t="s">
        <v>248</v>
      </c>
      <c r="P310" s="414">
        <v>0.55000000000000004</v>
      </c>
    </row>
    <row r="311" spans="1:20">
      <c r="A311" s="88" t="s">
        <v>680</v>
      </c>
      <c r="B311" s="415">
        <f t="shared" si="33"/>
        <v>2.5399999999999999E-2</v>
      </c>
      <c r="C311" s="188" t="s">
        <v>37</v>
      </c>
      <c r="D311" s="188" t="s">
        <v>40</v>
      </c>
      <c r="E311" s="188" t="s">
        <v>29</v>
      </c>
      <c r="F311" s="188" t="s">
        <v>35</v>
      </c>
      <c r="G311" s="188" t="s">
        <v>33</v>
      </c>
      <c r="H311" s="188">
        <v>2</v>
      </c>
      <c r="I311" s="188">
        <f>LN(B311)</f>
        <v>-3.6730061049576461</v>
      </c>
      <c r="J311" s="188">
        <v>0.22500000000000006</v>
      </c>
      <c r="K311" s="188" t="s">
        <v>31</v>
      </c>
      <c r="L311" s="188" t="s">
        <v>31</v>
      </c>
      <c r="M311" s="188" t="s">
        <v>31</v>
      </c>
      <c r="O311" s="401" t="s">
        <v>241</v>
      </c>
      <c r="P311" s="452">
        <v>2.5399999999999999E-2</v>
      </c>
    </row>
    <row r="312" spans="1:20">
      <c r="A312" s="188" t="s">
        <v>957</v>
      </c>
      <c r="B312" s="415">
        <f t="shared" si="33"/>
        <v>5.5100000000000003E-2</v>
      </c>
      <c r="C312" s="188" t="s">
        <v>37</v>
      </c>
      <c r="D312" s="188" t="s">
        <v>40</v>
      </c>
      <c r="E312" s="188" t="s">
        <v>29</v>
      </c>
      <c r="F312" s="188" t="s">
        <v>59</v>
      </c>
      <c r="G312" s="188" t="s">
        <v>33</v>
      </c>
      <c r="H312" s="188">
        <v>2</v>
      </c>
      <c r="I312" s="188">
        <f t="shared" ref="I312:I318" si="36">LN(B312)</f>
        <v>-2.8986055628232683</v>
      </c>
      <c r="J312" s="188">
        <v>0.22500000000000006</v>
      </c>
      <c r="K312" s="188" t="s">
        <v>31</v>
      </c>
      <c r="L312" s="188" t="s">
        <v>31</v>
      </c>
      <c r="M312" s="188" t="s">
        <v>31</v>
      </c>
      <c r="O312" s="401" t="s">
        <v>241</v>
      </c>
      <c r="P312" s="452">
        <v>5.5100000000000003E-2</v>
      </c>
    </row>
    <row r="313" spans="1:20">
      <c r="A313" s="88" t="s">
        <v>545</v>
      </c>
      <c r="B313" s="415">
        <f t="shared" si="33"/>
        <v>2.5399999999999999E-2</v>
      </c>
      <c r="C313" s="188" t="s">
        <v>37</v>
      </c>
      <c r="D313" s="188" t="s">
        <v>40</v>
      </c>
      <c r="E313" s="188" t="s">
        <v>29</v>
      </c>
      <c r="F313" s="188" t="s">
        <v>35</v>
      </c>
      <c r="G313" s="188" t="s">
        <v>33</v>
      </c>
      <c r="H313" s="188">
        <v>2</v>
      </c>
      <c r="I313" s="188">
        <f t="shared" si="36"/>
        <v>-3.6730061049576461</v>
      </c>
      <c r="J313" s="188">
        <v>0.22500000000000006</v>
      </c>
      <c r="K313" s="188" t="s">
        <v>31</v>
      </c>
      <c r="L313" s="188" t="s">
        <v>31</v>
      </c>
      <c r="M313" s="188" t="s">
        <v>31</v>
      </c>
      <c r="O313" s="401" t="s">
        <v>241</v>
      </c>
      <c r="P313" s="452">
        <v>2.5399999999999999E-2</v>
      </c>
    </row>
    <row r="314" spans="1:20">
      <c r="A314" s="88" t="s">
        <v>958</v>
      </c>
      <c r="B314" s="415">
        <f t="shared" si="33"/>
        <v>1.9099999999999999E-2</v>
      </c>
      <c r="C314" s="188" t="s">
        <v>37</v>
      </c>
      <c r="D314" s="188" t="s">
        <v>40</v>
      </c>
      <c r="E314" s="188" t="s">
        <v>29</v>
      </c>
      <c r="F314" s="188" t="s">
        <v>59</v>
      </c>
      <c r="G314" s="188" t="s">
        <v>33</v>
      </c>
      <c r="H314" s="188">
        <v>2</v>
      </c>
      <c r="I314" s="188">
        <f t="shared" si="36"/>
        <v>-3.9580669439295528</v>
      </c>
      <c r="J314" s="188">
        <v>0.22500000000000006</v>
      </c>
      <c r="K314" s="188" t="s">
        <v>31</v>
      </c>
      <c r="L314" s="188" t="s">
        <v>31</v>
      </c>
      <c r="M314" s="188" t="s">
        <v>31</v>
      </c>
      <c r="O314" s="401" t="s">
        <v>241</v>
      </c>
      <c r="P314" s="452">
        <v>1.9099999999999999E-2</v>
      </c>
    </row>
    <row r="315" spans="1:20">
      <c r="A315" s="88" t="s">
        <v>193</v>
      </c>
      <c r="B315" s="415">
        <f t="shared" si="33"/>
        <v>5.5100000000000003E-2</v>
      </c>
      <c r="C315" s="188" t="s">
        <v>37</v>
      </c>
      <c r="D315" s="188" t="s">
        <v>40</v>
      </c>
      <c r="E315" s="188" t="s">
        <v>29</v>
      </c>
      <c r="F315" s="188" t="s">
        <v>59</v>
      </c>
      <c r="G315" s="188" t="s">
        <v>33</v>
      </c>
      <c r="H315" s="188">
        <v>2</v>
      </c>
      <c r="I315" s="188">
        <f t="shared" si="36"/>
        <v>-2.8986055628232683</v>
      </c>
      <c r="J315" s="188">
        <v>0.22500000000000006</v>
      </c>
      <c r="K315" s="188" t="s">
        <v>31</v>
      </c>
      <c r="L315" s="188" t="s">
        <v>31</v>
      </c>
      <c r="M315" s="188" t="s">
        <v>31</v>
      </c>
      <c r="O315" s="401" t="s">
        <v>241</v>
      </c>
      <c r="P315" s="452">
        <v>5.5100000000000003E-2</v>
      </c>
    </row>
    <row r="316" spans="1:20">
      <c r="A316" s="346" t="s">
        <v>799</v>
      </c>
      <c r="B316" s="415">
        <f t="shared" si="33"/>
        <v>1</v>
      </c>
      <c r="C316" s="188" t="s">
        <v>37</v>
      </c>
      <c r="D316" s="188" t="s">
        <v>40</v>
      </c>
      <c r="E316" s="188" t="s">
        <v>29</v>
      </c>
      <c r="F316" s="37" t="s">
        <v>74</v>
      </c>
      <c r="G316" s="188" t="s">
        <v>33</v>
      </c>
      <c r="H316" s="188">
        <v>2</v>
      </c>
      <c r="I316" s="188">
        <f t="shared" si="36"/>
        <v>0</v>
      </c>
      <c r="J316" s="188">
        <v>0.22500000000000006</v>
      </c>
      <c r="K316" s="188" t="s">
        <v>31</v>
      </c>
      <c r="L316" s="188" t="s">
        <v>31</v>
      </c>
      <c r="M316" s="188" t="s">
        <v>31</v>
      </c>
      <c r="O316" s="401" t="s">
        <v>241</v>
      </c>
      <c r="P316" s="452">
        <v>1</v>
      </c>
    </row>
    <row r="317" spans="1:20">
      <c r="A317" s="88" t="s">
        <v>758</v>
      </c>
      <c r="B317" s="415">
        <f t="shared" si="33"/>
        <v>9.7999999999999997E-3</v>
      </c>
      <c r="C317" s="188" t="s">
        <v>37</v>
      </c>
      <c r="D317" s="188" t="s">
        <v>43</v>
      </c>
      <c r="E317" s="188" t="s">
        <v>44</v>
      </c>
      <c r="F317" s="188" t="s">
        <v>29</v>
      </c>
      <c r="G317" s="188" t="s">
        <v>45</v>
      </c>
      <c r="H317" s="188">
        <v>2</v>
      </c>
      <c r="I317" s="188">
        <f t="shared" si="36"/>
        <v>-4.6253728933056104</v>
      </c>
      <c r="J317" s="188">
        <v>0.22500000000000006</v>
      </c>
      <c r="K317" s="188" t="s">
        <v>31</v>
      </c>
      <c r="L317" s="188" t="s">
        <v>31</v>
      </c>
      <c r="M317" s="188" t="s">
        <v>31</v>
      </c>
      <c r="O317" s="416" t="s">
        <v>241</v>
      </c>
      <c r="P317" s="417">
        <v>9.7999999999999997E-3</v>
      </c>
    </row>
    <row r="318" spans="1:20">
      <c r="A318" s="188" t="s">
        <v>784</v>
      </c>
      <c r="B318" s="415">
        <f t="shared" si="33"/>
        <v>0.18</v>
      </c>
      <c r="C318" s="188" t="s">
        <v>37</v>
      </c>
      <c r="D318" s="408" t="s">
        <v>2</v>
      </c>
      <c r="E318" s="188" t="s">
        <v>29</v>
      </c>
      <c r="F318" s="37" t="s">
        <v>74</v>
      </c>
      <c r="G318" s="188" t="s">
        <v>33</v>
      </c>
      <c r="H318" s="188">
        <v>2</v>
      </c>
      <c r="I318" s="188">
        <f t="shared" si="36"/>
        <v>-1.7147984280919266</v>
      </c>
      <c r="J318" s="188">
        <v>0.22500000000000006</v>
      </c>
      <c r="K318" s="188" t="s">
        <v>31</v>
      </c>
      <c r="L318" s="188" t="s">
        <v>31</v>
      </c>
      <c r="M318" s="188" t="s">
        <v>31</v>
      </c>
      <c r="O318" s="418" t="s">
        <v>241</v>
      </c>
      <c r="P318" s="453">
        <v>0.18</v>
      </c>
    </row>
    <row r="319" spans="1:20" s="353" customFormat="1">
      <c r="A319" s="370" t="s">
        <v>5</v>
      </c>
      <c r="B319" s="371" t="s">
        <v>1291</v>
      </c>
    </row>
    <row r="320" spans="1:20">
      <c r="A320" s="346" t="s">
        <v>7</v>
      </c>
      <c r="B320" s="188" t="s">
        <v>786</v>
      </c>
      <c r="C320" s="345"/>
    </row>
    <row r="321" spans="1:20">
      <c r="A321" s="424" t="s">
        <v>9</v>
      </c>
      <c r="B321" s="188" t="s">
        <v>1292</v>
      </c>
      <c r="C321" s="345"/>
    </row>
    <row r="322" spans="1:20" ht="15.75" customHeight="1">
      <c r="A322" s="346" t="s">
        <v>11</v>
      </c>
      <c r="B322" s="347" t="s">
        <v>796</v>
      </c>
    </row>
    <row r="323" spans="1:20">
      <c r="A323" s="346" t="s">
        <v>13</v>
      </c>
      <c r="B323" s="188" t="s">
        <v>14</v>
      </c>
    </row>
    <row r="324" spans="1:20">
      <c r="A324" s="346" t="s">
        <v>15</v>
      </c>
      <c r="B324" s="415">
        <f>B329</f>
        <v>4.2000000000000003E-2</v>
      </c>
    </row>
    <row r="325" spans="1:20">
      <c r="A325" s="346" t="s">
        <v>16</v>
      </c>
      <c r="B325" s="188" t="s">
        <v>17</v>
      </c>
    </row>
    <row r="326" spans="1:20">
      <c r="A326" s="346" t="s">
        <v>18</v>
      </c>
      <c r="B326" s="188" t="s">
        <v>609</v>
      </c>
    </row>
    <row r="327" spans="1:20">
      <c r="A327" s="343" t="s">
        <v>19</v>
      </c>
    </row>
    <row r="328" spans="1:20">
      <c r="A328" s="344" t="s">
        <v>20</v>
      </c>
      <c r="B328" s="344" t="s">
        <v>21</v>
      </c>
      <c r="C328" s="344" t="s">
        <v>18</v>
      </c>
      <c r="D328" s="344" t="s">
        <v>22</v>
      </c>
      <c r="E328" s="344" t="s">
        <v>7</v>
      </c>
      <c r="F328" s="344" t="s">
        <v>13</v>
      </c>
      <c r="G328" s="344" t="s">
        <v>16</v>
      </c>
      <c r="H328" s="344" t="s">
        <v>23</v>
      </c>
      <c r="I328" s="344" t="s">
        <v>24</v>
      </c>
      <c r="J328" s="344" t="s">
        <v>25</v>
      </c>
      <c r="K328" s="344" t="s">
        <v>26</v>
      </c>
      <c r="L328" s="344" t="s">
        <v>27</v>
      </c>
      <c r="M328" s="344" t="s">
        <v>28</v>
      </c>
      <c r="N328" s="344" t="s">
        <v>11</v>
      </c>
      <c r="T328" s="415"/>
    </row>
    <row r="329" spans="1:20">
      <c r="A329" s="188" t="s">
        <v>1291</v>
      </c>
      <c r="B329" s="415">
        <f>P330</f>
        <v>4.2000000000000003E-2</v>
      </c>
      <c r="C329" s="188" t="s">
        <v>609</v>
      </c>
      <c r="D329" s="408" t="s">
        <v>2</v>
      </c>
      <c r="E329" s="188" t="s">
        <v>29</v>
      </c>
      <c r="F329" s="188" t="s">
        <v>14</v>
      </c>
      <c r="G329" s="188" t="s">
        <v>30</v>
      </c>
      <c r="H329" s="188">
        <v>1</v>
      </c>
      <c r="I329" s="415">
        <f t="shared" ref="I329:I331" si="37">B329</f>
        <v>4.2000000000000003E-2</v>
      </c>
      <c r="J329" s="188" t="s">
        <v>31</v>
      </c>
      <c r="K329" s="188" t="s">
        <v>31</v>
      </c>
      <c r="L329" s="188" t="s">
        <v>31</v>
      </c>
      <c r="M329" s="188" t="s">
        <v>31</v>
      </c>
    </row>
    <row r="330" spans="1:20" ht="14.45">
      <c r="A330" s="192" t="s">
        <v>1293</v>
      </c>
      <c r="B330" s="415">
        <f>P330</f>
        <v>4.2000000000000003E-2</v>
      </c>
      <c r="C330" s="188" t="s">
        <v>609</v>
      </c>
      <c r="D330" s="408" t="s">
        <v>2</v>
      </c>
      <c r="E330" s="188" t="s">
        <v>29</v>
      </c>
      <c r="F330" s="188" t="s">
        <v>14</v>
      </c>
      <c r="G330" s="188" t="s">
        <v>33</v>
      </c>
      <c r="H330" s="188">
        <v>1</v>
      </c>
      <c r="I330" s="415">
        <f t="shared" si="37"/>
        <v>4.2000000000000003E-2</v>
      </c>
      <c r="J330" s="188">
        <v>2.8722813232690055E-2</v>
      </c>
      <c r="K330" s="188" t="s">
        <v>31</v>
      </c>
      <c r="L330" s="188" t="s">
        <v>31</v>
      </c>
      <c r="M330" s="188" t="s">
        <v>31</v>
      </c>
      <c r="O330" s="396" t="s">
        <v>823</v>
      </c>
      <c r="P330" s="486">
        <v>4.2000000000000003E-2</v>
      </c>
    </row>
    <row r="331" spans="1:20">
      <c r="A331" s="192" t="s">
        <v>1233</v>
      </c>
      <c r="B331" s="188">
        <f>R331</f>
        <v>0.442</v>
      </c>
      <c r="C331" s="188" t="s">
        <v>241</v>
      </c>
      <c r="D331" s="408" t="s">
        <v>2</v>
      </c>
      <c r="E331" s="188" t="s">
        <v>29</v>
      </c>
      <c r="F331" s="188" t="s">
        <v>14</v>
      </c>
      <c r="G331" s="188" t="s">
        <v>33</v>
      </c>
      <c r="H331" s="188">
        <v>1</v>
      </c>
      <c r="I331" s="415">
        <f t="shared" si="37"/>
        <v>0.442</v>
      </c>
      <c r="J331" s="188">
        <v>2.8722813232690055E-2</v>
      </c>
      <c r="K331" s="188" t="s">
        <v>31</v>
      </c>
      <c r="L331" s="188" t="s">
        <v>31</v>
      </c>
      <c r="M331" s="188" t="s">
        <v>31</v>
      </c>
      <c r="O331" s="396" t="s">
        <v>580</v>
      </c>
      <c r="P331" s="455">
        <v>442</v>
      </c>
      <c r="Q331" s="188" t="s">
        <v>241</v>
      </c>
      <c r="R331" s="188">
        <f>P331*0.001</f>
        <v>0.442</v>
      </c>
    </row>
    <row r="332" spans="1:20">
      <c r="A332" s="346" t="s">
        <v>269</v>
      </c>
      <c r="B332" s="350">
        <f>P332</f>
        <v>0.04</v>
      </c>
      <c r="C332" s="188" t="s">
        <v>39</v>
      </c>
      <c r="D332" s="188" t="s">
        <v>40</v>
      </c>
      <c r="E332" s="188" t="s">
        <v>29</v>
      </c>
      <c r="F332" s="37" t="s">
        <v>35</v>
      </c>
      <c r="G332" s="188" t="s">
        <v>33</v>
      </c>
      <c r="H332" s="188">
        <v>2</v>
      </c>
      <c r="I332" s="188">
        <f t="shared" ref="I332:I334" si="38">LN(B332)</f>
        <v>-3.2188758248682006</v>
      </c>
      <c r="J332" s="188">
        <v>0.20928449536456342</v>
      </c>
      <c r="K332" s="188" t="s">
        <v>31</v>
      </c>
      <c r="L332" s="188" t="s">
        <v>31</v>
      </c>
      <c r="M332" s="188" t="s">
        <v>31</v>
      </c>
      <c r="O332" s="401" t="s">
        <v>248</v>
      </c>
      <c r="P332" s="452">
        <v>0.04</v>
      </c>
    </row>
    <row r="333" spans="1:20">
      <c r="A333" s="346" t="s">
        <v>269</v>
      </c>
      <c r="B333" s="350">
        <f>P333</f>
        <v>2.5</v>
      </c>
      <c r="C333" s="188" t="s">
        <v>39</v>
      </c>
      <c r="D333" s="188" t="s">
        <v>40</v>
      </c>
      <c r="E333" s="188" t="s">
        <v>29</v>
      </c>
      <c r="F333" s="37" t="s">
        <v>35</v>
      </c>
      <c r="G333" s="188" t="s">
        <v>33</v>
      </c>
      <c r="H333" s="188">
        <v>2</v>
      </c>
      <c r="I333" s="188">
        <f t="shared" si="38"/>
        <v>0.91629073187415511</v>
      </c>
      <c r="J333" s="188">
        <v>0.20928449536456342</v>
      </c>
      <c r="K333" s="188" t="s">
        <v>31</v>
      </c>
      <c r="L333" s="188" t="s">
        <v>31</v>
      </c>
      <c r="M333" s="188" t="s">
        <v>31</v>
      </c>
      <c r="O333" s="401" t="s">
        <v>248</v>
      </c>
      <c r="P333" s="414">
        <v>2.5</v>
      </c>
    </row>
    <row r="334" spans="1:20">
      <c r="A334" s="346" t="s">
        <v>269</v>
      </c>
      <c r="B334" s="350">
        <f>P334</f>
        <v>0.64</v>
      </c>
      <c r="C334" s="188" t="s">
        <v>39</v>
      </c>
      <c r="D334" s="188" t="s">
        <v>40</v>
      </c>
      <c r="E334" s="188" t="s">
        <v>29</v>
      </c>
      <c r="F334" s="37" t="s">
        <v>35</v>
      </c>
      <c r="G334" s="188" t="s">
        <v>33</v>
      </c>
      <c r="H334" s="188">
        <v>2</v>
      </c>
      <c r="I334" s="188">
        <f t="shared" si="38"/>
        <v>-0.44628710262841947</v>
      </c>
      <c r="J334" s="188">
        <v>9.6436507609929598E-2</v>
      </c>
      <c r="K334" s="188" t="s">
        <v>31</v>
      </c>
      <c r="L334" s="188" t="s">
        <v>31</v>
      </c>
      <c r="M334" s="188" t="s">
        <v>31</v>
      </c>
      <c r="O334" s="401" t="s">
        <v>248</v>
      </c>
      <c r="P334" s="414">
        <v>0.64</v>
      </c>
    </row>
    <row r="335" spans="1:20">
      <c r="A335" s="88" t="s">
        <v>680</v>
      </c>
      <c r="B335" s="415">
        <f>R335</f>
        <v>4.0000000000000001E-3</v>
      </c>
      <c r="C335" s="188" t="s">
        <v>37</v>
      </c>
      <c r="D335" s="188" t="s">
        <v>40</v>
      </c>
      <c r="E335" s="188" t="s">
        <v>29</v>
      </c>
      <c r="F335" s="188" t="s">
        <v>35</v>
      </c>
      <c r="G335" s="188" t="s">
        <v>33</v>
      </c>
      <c r="H335" s="188">
        <v>2</v>
      </c>
      <c r="I335" s="188">
        <f>LN(B335)</f>
        <v>-5.521460917862246</v>
      </c>
      <c r="J335" s="188">
        <v>0.20928449536456342</v>
      </c>
      <c r="K335" s="188" t="s">
        <v>31</v>
      </c>
      <c r="L335" s="188" t="s">
        <v>31</v>
      </c>
      <c r="M335" s="188" t="s">
        <v>31</v>
      </c>
      <c r="O335" s="401" t="s">
        <v>580</v>
      </c>
      <c r="P335" s="414">
        <v>4</v>
      </c>
      <c r="Q335" s="188" t="s">
        <v>241</v>
      </c>
      <c r="R335" s="188">
        <f>P335*0.001</f>
        <v>4.0000000000000001E-3</v>
      </c>
    </row>
    <row r="336" spans="1:20">
      <c r="A336" s="346" t="s">
        <v>799</v>
      </c>
      <c r="B336" s="415">
        <f>P336</f>
        <v>0.03</v>
      </c>
      <c r="C336" s="188" t="s">
        <v>37</v>
      </c>
      <c r="D336" s="188" t="s">
        <v>40</v>
      </c>
      <c r="E336" s="188" t="s">
        <v>29</v>
      </c>
      <c r="F336" s="37" t="s">
        <v>74</v>
      </c>
      <c r="G336" s="188" t="s">
        <v>33</v>
      </c>
      <c r="H336" s="188">
        <v>2</v>
      </c>
      <c r="I336" s="188">
        <f>LN(B336)</f>
        <v>-3.5065578973199818</v>
      </c>
      <c r="J336" s="188">
        <v>0.20928449536456342</v>
      </c>
      <c r="K336" s="188" t="s">
        <v>31</v>
      </c>
      <c r="L336" s="188" t="s">
        <v>31</v>
      </c>
      <c r="M336" s="188" t="s">
        <v>31</v>
      </c>
      <c r="O336" s="401" t="s">
        <v>241</v>
      </c>
      <c r="P336" s="452">
        <v>0.03</v>
      </c>
    </row>
    <row r="337" spans="1:20">
      <c r="A337" s="88" t="s">
        <v>300</v>
      </c>
      <c r="B337" s="441">
        <f>R337</f>
        <v>6.4000000000000003E-3</v>
      </c>
      <c r="C337" s="188" t="s">
        <v>37</v>
      </c>
      <c r="D337" s="188" t="s">
        <v>40</v>
      </c>
      <c r="E337" s="188" t="s">
        <v>29</v>
      </c>
      <c r="F337" s="37" t="s">
        <v>82</v>
      </c>
      <c r="G337" s="188" t="s">
        <v>33</v>
      </c>
      <c r="H337" s="188">
        <v>2</v>
      </c>
      <c r="I337" s="188">
        <f>LN(B337)</f>
        <v>-5.0514572886165112</v>
      </c>
      <c r="J337" s="188">
        <v>0.20928449536456342</v>
      </c>
      <c r="K337" s="188" t="s">
        <v>31</v>
      </c>
      <c r="L337" s="188" t="s">
        <v>31</v>
      </c>
      <c r="M337" s="188" t="s">
        <v>31</v>
      </c>
      <c r="O337" s="401" t="s">
        <v>580</v>
      </c>
      <c r="P337" s="414">
        <v>6.4</v>
      </c>
      <c r="Q337" s="188" t="s">
        <v>241</v>
      </c>
      <c r="R337" s="188">
        <f>P337*0.001</f>
        <v>6.4000000000000003E-3</v>
      </c>
    </row>
    <row r="338" spans="1:20">
      <c r="A338" s="88" t="s">
        <v>545</v>
      </c>
      <c r="B338" s="188">
        <f>R338</f>
        <v>0.01</v>
      </c>
      <c r="C338" s="188" t="s">
        <v>37</v>
      </c>
      <c r="D338" s="188" t="s">
        <v>40</v>
      </c>
      <c r="E338" s="188" t="s">
        <v>29</v>
      </c>
      <c r="F338" s="188" t="s">
        <v>35</v>
      </c>
      <c r="G338" s="188" t="s">
        <v>33</v>
      </c>
      <c r="H338" s="188">
        <v>2</v>
      </c>
      <c r="I338" s="188">
        <f>LN(B338)</f>
        <v>-4.6051701859880909</v>
      </c>
      <c r="J338" s="188">
        <v>0.20928449536456342</v>
      </c>
      <c r="K338" s="188" t="s">
        <v>31</v>
      </c>
      <c r="L338" s="188" t="s">
        <v>31</v>
      </c>
      <c r="M338" s="188" t="s">
        <v>31</v>
      </c>
      <c r="O338" s="401" t="s">
        <v>580</v>
      </c>
      <c r="P338" s="414">
        <v>10</v>
      </c>
      <c r="Q338" s="188" t="s">
        <v>241</v>
      </c>
      <c r="R338" s="188">
        <f>P338*0.001</f>
        <v>0.01</v>
      </c>
    </row>
    <row r="339" spans="1:20">
      <c r="A339" s="346" t="s">
        <v>202</v>
      </c>
      <c r="B339" s="188">
        <f>P339</f>
        <v>7.4</v>
      </c>
      <c r="C339" s="188" t="s">
        <v>37</v>
      </c>
      <c r="D339" s="188" t="s">
        <v>40</v>
      </c>
      <c r="E339" s="188" t="s">
        <v>29</v>
      </c>
      <c r="F339" s="37" t="s">
        <v>35</v>
      </c>
      <c r="G339" s="188" t="s">
        <v>33</v>
      </c>
      <c r="H339" s="188">
        <v>2</v>
      </c>
      <c r="I339" s="188">
        <f t="shared" ref="I339:I340" si="39">LN(B339)</f>
        <v>2.0014800002101243</v>
      </c>
      <c r="J339" s="188">
        <v>0.20928449536456342</v>
      </c>
      <c r="K339" s="188" t="s">
        <v>31</v>
      </c>
      <c r="L339" s="188" t="s">
        <v>31</v>
      </c>
      <c r="M339" s="188" t="s">
        <v>31</v>
      </c>
      <c r="O339" s="401" t="s">
        <v>241</v>
      </c>
      <c r="P339" s="414">
        <v>7.4</v>
      </c>
    </row>
    <row r="340" spans="1:20">
      <c r="A340" s="188" t="s">
        <v>784</v>
      </c>
      <c r="B340" s="415">
        <f>P340</f>
        <v>2.1000000000000001E-2</v>
      </c>
      <c r="C340" s="188" t="s">
        <v>37</v>
      </c>
      <c r="D340" s="408" t="s">
        <v>2</v>
      </c>
      <c r="E340" s="188" t="s">
        <v>29</v>
      </c>
      <c r="F340" s="37" t="s">
        <v>74</v>
      </c>
      <c r="G340" s="188" t="s">
        <v>33</v>
      </c>
      <c r="H340" s="188">
        <v>2</v>
      </c>
      <c r="I340" s="188">
        <f t="shared" si="39"/>
        <v>-3.8632328412587138</v>
      </c>
      <c r="J340" s="188">
        <v>0.20928449536456342</v>
      </c>
      <c r="K340" s="188" t="s">
        <v>31</v>
      </c>
      <c r="L340" s="188" t="s">
        <v>31</v>
      </c>
      <c r="M340" s="188" t="s">
        <v>31</v>
      </c>
      <c r="O340" s="418" t="s">
        <v>241</v>
      </c>
      <c r="P340" s="453">
        <v>2.1000000000000001E-2</v>
      </c>
    </row>
    <row r="341" spans="1:20" s="353" customFormat="1">
      <c r="A341" s="370" t="s">
        <v>5</v>
      </c>
      <c r="B341" s="371" t="s">
        <v>1293</v>
      </c>
      <c r="P341" s="469"/>
    </row>
    <row r="342" spans="1:20">
      <c r="A342" s="346" t="s">
        <v>7</v>
      </c>
      <c r="B342" s="188" t="s">
        <v>786</v>
      </c>
      <c r="C342" s="345"/>
    </row>
    <row r="343" spans="1:20">
      <c r="A343" s="424" t="s">
        <v>9</v>
      </c>
      <c r="B343" s="188" t="s">
        <v>1294</v>
      </c>
      <c r="C343" s="345"/>
    </row>
    <row r="344" spans="1:20" ht="15.75" customHeight="1">
      <c r="A344" s="346" t="s">
        <v>11</v>
      </c>
      <c r="B344" s="347" t="s">
        <v>796</v>
      </c>
    </row>
    <row r="345" spans="1:20">
      <c r="A345" s="346" t="s">
        <v>13</v>
      </c>
      <c r="B345" s="188" t="s">
        <v>14</v>
      </c>
    </row>
    <row r="346" spans="1:20">
      <c r="A346" s="346" t="s">
        <v>15</v>
      </c>
      <c r="B346" s="415">
        <f>B351</f>
        <v>4.2000000000000003E-2</v>
      </c>
    </row>
    <row r="347" spans="1:20">
      <c r="A347" s="346" t="s">
        <v>16</v>
      </c>
      <c r="B347" s="188" t="s">
        <v>17</v>
      </c>
    </row>
    <row r="348" spans="1:20">
      <c r="A348" s="346" t="s">
        <v>18</v>
      </c>
      <c r="B348" s="188" t="s">
        <v>609</v>
      </c>
    </row>
    <row r="349" spans="1:20">
      <c r="A349" s="343" t="s">
        <v>19</v>
      </c>
    </row>
    <row r="350" spans="1:20">
      <c r="A350" s="344" t="s">
        <v>20</v>
      </c>
      <c r="B350" s="344" t="s">
        <v>21</v>
      </c>
      <c r="C350" s="344" t="s">
        <v>18</v>
      </c>
      <c r="D350" s="344" t="s">
        <v>22</v>
      </c>
      <c r="E350" s="344" t="s">
        <v>7</v>
      </c>
      <c r="F350" s="344" t="s">
        <v>13</v>
      </c>
      <c r="G350" s="344" t="s">
        <v>16</v>
      </c>
      <c r="H350" s="344" t="s">
        <v>23</v>
      </c>
      <c r="I350" s="344" t="s">
        <v>24</v>
      </c>
      <c r="J350" s="344" t="s">
        <v>25</v>
      </c>
      <c r="K350" s="344" t="s">
        <v>26</v>
      </c>
      <c r="L350" s="344" t="s">
        <v>27</v>
      </c>
      <c r="M350" s="344" t="s">
        <v>28</v>
      </c>
      <c r="N350" s="344" t="s">
        <v>11</v>
      </c>
      <c r="T350" s="415"/>
    </row>
    <row r="351" spans="1:20">
      <c r="A351" s="192" t="s">
        <v>1293</v>
      </c>
      <c r="B351" s="415">
        <f>P351</f>
        <v>4.2000000000000003E-2</v>
      </c>
      <c r="C351" s="188" t="s">
        <v>609</v>
      </c>
      <c r="D351" s="408" t="s">
        <v>2</v>
      </c>
      <c r="E351" s="188" t="s">
        <v>29</v>
      </c>
      <c r="F351" s="188" t="s">
        <v>14</v>
      </c>
      <c r="G351" s="188" t="s">
        <v>30</v>
      </c>
      <c r="H351" s="188">
        <v>1</v>
      </c>
      <c r="I351" s="415">
        <f>B351</f>
        <v>4.2000000000000003E-2</v>
      </c>
      <c r="J351" s="188" t="s">
        <v>31</v>
      </c>
      <c r="K351" s="188" t="s">
        <v>31</v>
      </c>
      <c r="L351" s="188" t="s">
        <v>31</v>
      </c>
      <c r="M351" s="188" t="s">
        <v>31</v>
      </c>
      <c r="O351" s="396" t="s">
        <v>823</v>
      </c>
      <c r="P351" s="469">
        <v>4.2000000000000003E-2</v>
      </c>
    </row>
    <row r="352" spans="1:20">
      <c r="A352" s="88" t="s">
        <v>848</v>
      </c>
      <c r="B352" s="188">
        <f>P352</f>
        <v>0.08</v>
      </c>
      <c r="C352" s="188" t="s">
        <v>37</v>
      </c>
      <c r="D352" s="188" t="s">
        <v>40</v>
      </c>
      <c r="E352" s="188" t="s">
        <v>29</v>
      </c>
      <c r="F352" s="188" t="s">
        <v>82</v>
      </c>
      <c r="G352" s="188" t="s">
        <v>33</v>
      </c>
      <c r="H352" s="188">
        <v>2</v>
      </c>
      <c r="I352" s="188">
        <f t="shared" ref="I352:I362" si="40">LN(B352)</f>
        <v>-2.5257286443082556</v>
      </c>
      <c r="J352" s="464">
        <v>0.22516660498395411</v>
      </c>
      <c r="K352" s="188" t="s">
        <v>31</v>
      </c>
      <c r="L352" s="188" t="s">
        <v>31</v>
      </c>
      <c r="M352" s="188" t="s">
        <v>31</v>
      </c>
      <c r="O352" s="401" t="s">
        <v>241</v>
      </c>
      <c r="P352" s="414">
        <v>0.08</v>
      </c>
    </row>
    <row r="353" spans="1:18">
      <c r="A353" s="346" t="s">
        <v>269</v>
      </c>
      <c r="B353" s="350">
        <f>P353</f>
        <v>0.89</v>
      </c>
      <c r="C353" s="188" t="s">
        <v>39</v>
      </c>
      <c r="D353" s="188" t="s">
        <v>40</v>
      </c>
      <c r="E353" s="188" t="s">
        <v>29</v>
      </c>
      <c r="F353" s="37" t="s">
        <v>35</v>
      </c>
      <c r="G353" s="188" t="s">
        <v>33</v>
      </c>
      <c r="H353" s="188">
        <v>2</v>
      </c>
      <c r="I353" s="188">
        <f t="shared" si="40"/>
        <v>-0.11653381625595151</v>
      </c>
      <c r="J353" s="464">
        <v>0.22516660498395411</v>
      </c>
      <c r="K353" s="188" t="s">
        <v>31</v>
      </c>
      <c r="L353" s="188" t="s">
        <v>31</v>
      </c>
      <c r="M353" s="188" t="s">
        <v>31</v>
      </c>
      <c r="O353" s="401" t="s">
        <v>248</v>
      </c>
      <c r="P353" s="414">
        <v>0.89</v>
      </c>
    </row>
    <row r="354" spans="1:18">
      <c r="A354" s="88" t="s">
        <v>962</v>
      </c>
      <c r="B354" s="415">
        <f>R354</f>
        <v>2E-3</v>
      </c>
      <c r="C354" s="188" t="s">
        <v>37</v>
      </c>
      <c r="D354" s="188" t="s">
        <v>40</v>
      </c>
      <c r="E354" s="188" t="s">
        <v>29</v>
      </c>
      <c r="F354" s="188" t="s">
        <v>35</v>
      </c>
      <c r="G354" s="188" t="s">
        <v>33</v>
      </c>
      <c r="H354" s="188">
        <v>2</v>
      </c>
      <c r="I354" s="188">
        <f t="shared" si="40"/>
        <v>-6.2146080984221914</v>
      </c>
      <c r="J354" s="464">
        <v>0.22516660498395411</v>
      </c>
      <c r="K354" s="188" t="s">
        <v>31</v>
      </c>
      <c r="L354" s="188" t="s">
        <v>31</v>
      </c>
      <c r="M354" s="188" t="s">
        <v>31</v>
      </c>
      <c r="O354" s="401" t="s">
        <v>580</v>
      </c>
      <c r="P354" s="452">
        <v>2</v>
      </c>
      <c r="Q354" s="188" t="s">
        <v>241</v>
      </c>
      <c r="R354" s="415">
        <f>0.001*P354</f>
        <v>2E-3</v>
      </c>
    </row>
    <row r="355" spans="1:18">
      <c r="A355" s="88" t="s">
        <v>963</v>
      </c>
      <c r="B355" s="415">
        <f>P355</f>
        <v>7.1999999999999998E-3</v>
      </c>
      <c r="C355" s="188" t="s">
        <v>37</v>
      </c>
      <c r="D355" s="188" t="s">
        <v>40</v>
      </c>
      <c r="E355" s="188" t="s">
        <v>29</v>
      </c>
      <c r="F355" s="188" t="s">
        <v>35</v>
      </c>
      <c r="G355" s="188" t="s">
        <v>33</v>
      </c>
      <c r="H355" s="188">
        <v>2</v>
      </c>
      <c r="I355" s="188">
        <f t="shared" si="40"/>
        <v>-4.9336742529601274</v>
      </c>
      <c r="J355" s="464">
        <v>0.22516660498395411</v>
      </c>
      <c r="K355" s="188" t="s">
        <v>31</v>
      </c>
      <c r="L355" s="188" t="s">
        <v>31</v>
      </c>
      <c r="M355" s="188" t="s">
        <v>31</v>
      </c>
      <c r="O355" s="401" t="s">
        <v>241</v>
      </c>
      <c r="P355" s="452">
        <v>7.1999999999999998E-3</v>
      </c>
    </row>
    <row r="356" spans="1:18">
      <c r="A356" s="88" t="s">
        <v>964</v>
      </c>
      <c r="B356" s="415">
        <f>P356</f>
        <v>5.8999999999999999E-3</v>
      </c>
      <c r="C356" s="188" t="s">
        <v>37</v>
      </c>
      <c r="D356" s="188" t="s">
        <v>40</v>
      </c>
      <c r="E356" s="188" t="s">
        <v>29</v>
      </c>
      <c r="F356" s="188" t="s">
        <v>35</v>
      </c>
      <c r="G356" s="188" t="s">
        <v>33</v>
      </c>
      <c r="H356" s="188">
        <v>2</v>
      </c>
      <c r="I356" s="188">
        <f t="shared" si="40"/>
        <v>-5.132802928070463</v>
      </c>
      <c r="J356" s="464">
        <v>0.22516660498395411</v>
      </c>
      <c r="K356" s="188" t="s">
        <v>31</v>
      </c>
      <c r="L356" s="188" t="s">
        <v>31</v>
      </c>
      <c r="M356" s="188" t="s">
        <v>31</v>
      </c>
      <c r="O356" s="401" t="s">
        <v>241</v>
      </c>
      <c r="P356" s="452">
        <v>5.8999999999999999E-3</v>
      </c>
    </row>
    <row r="357" spans="1:18">
      <c r="A357" s="88" t="s">
        <v>191</v>
      </c>
      <c r="B357" s="415">
        <f>P357</f>
        <v>5.1999999999999998E-2</v>
      </c>
      <c r="C357" s="188" t="s">
        <v>37</v>
      </c>
      <c r="D357" s="188" t="s">
        <v>40</v>
      </c>
      <c r="E357" s="188" t="s">
        <v>29</v>
      </c>
      <c r="F357" s="188" t="s">
        <v>35</v>
      </c>
      <c r="G357" s="188" t="s">
        <v>33</v>
      </c>
      <c r="H357" s="188">
        <v>2</v>
      </c>
      <c r="I357" s="188">
        <f t="shared" si="40"/>
        <v>-2.9565115604007097</v>
      </c>
      <c r="J357" s="464">
        <v>0.22516660498395411</v>
      </c>
      <c r="K357" s="188" t="s">
        <v>31</v>
      </c>
      <c r="L357" s="188" t="s">
        <v>31</v>
      </c>
      <c r="M357" s="188" t="s">
        <v>31</v>
      </c>
      <c r="O357" s="401" t="s">
        <v>241</v>
      </c>
      <c r="P357" s="414">
        <v>5.1999999999999998E-2</v>
      </c>
    </row>
    <row r="358" spans="1:18">
      <c r="A358" s="88" t="s">
        <v>965</v>
      </c>
      <c r="B358" s="415">
        <f>R358</f>
        <v>2.9999999999999997E-4</v>
      </c>
      <c r="C358" s="188" t="s">
        <v>37</v>
      </c>
      <c r="D358" s="188" t="s">
        <v>43</v>
      </c>
      <c r="E358" s="188" t="s">
        <v>44</v>
      </c>
      <c r="F358" s="188" t="s">
        <v>29</v>
      </c>
      <c r="G358" s="188" t="s">
        <v>45</v>
      </c>
      <c r="H358" s="188">
        <v>2</v>
      </c>
      <c r="I358" s="188">
        <f t="shared" si="40"/>
        <v>-8.1117280833080727</v>
      </c>
      <c r="J358" s="464">
        <v>0.10344080432788608</v>
      </c>
      <c r="K358" s="188" t="s">
        <v>31</v>
      </c>
      <c r="L358" s="188" t="s">
        <v>31</v>
      </c>
      <c r="M358" s="188" t="s">
        <v>31</v>
      </c>
      <c r="O358" s="416" t="s">
        <v>580</v>
      </c>
      <c r="P358" s="417">
        <v>0.3</v>
      </c>
      <c r="Q358" s="188" t="s">
        <v>241</v>
      </c>
      <c r="R358" s="415">
        <f>0.001*P358</f>
        <v>2.9999999999999997E-4</v>
      </c>
    </row>
    <row r="359" spans="1:18">
      <c r="A359" s="88" t="s">
        <v>77</v>
      </c>
      <c r="B359" s="415">
        <f t="shared" ref="B359:B361" si="41">R359</f>
        <v>3.0000000000000001E-3</v>
      </c>
      <c r="C359" s="188" t="s">
        <v>37</v>
      </c>
      <c r="D359" s="188" t="s">
        <v>43</v>
      </c>
      <c r="E359" s="188" t="s">
        <v>44</v>
      </c>
      <c r="F359" s="188" t="s">
        <v>29</v>
      </c>
      <c r="G359" s="188" t="s">
        <v>45</v>
      </c>
      <c r="H359" s="188">
        <v>2</v>
      </c>
      <c r="I359" s="188">
        <f t="shared" si="40"/>
        <v>-5.8091429903140277</v>
      </c>
      <c r="J359" s="464">
        <v>0.10344080432788608</v>
      </c>
      <c r="K359" s="188" t="s">
        <v>31</v>
      </c>
      <c r="L359" s="188" t="s">
        <v>31</v>
      </c>
      <c r="M359" s="188" t="s">
        <v>31</v>
      </c>
      <c r="O359" s="416" t="s">
        <v>580</v>
      </c>
      <c r="P359" s="417">
        <v>3</v>
      </c>
      <c r="Q359" s="188" t="s">
        <v>241</v>
      </c>
      <c r="R359" s="415">
        <f>0.001*P359</f>
        <v>3.0000000000000001E-3</v>
      </c>
    </row>
    <row r="360" spans="1:18">
      <c r="A360" s="88" t="s">
        <v>966</v>
      </c>
      <c r="B360" s="415">
        <f t="shared" si="41"/>
        <v>2E-3</v>
      </c>
      <c r="C360" s="188" t="s">
        <v>37</v>
      </c>
      <c r="D360" s="188" t="s">
        <v>43</v>
      </c>
      <c r="E360" s="188" t="s">
        <v>44</v>
      </c>
      <c r="F360" s="188" t="s">
        <v>29</v>
      </c>
      <c r="G360" s="188" t="s">
        <v>45</v>
      </c>
      <c r="H360" s="188">
        <v>2</v>
      </c>
      <c r="I360" s="188">
        <f t="shared" si="40"/>
        <v>-6.2146080984221914</v>
      </c>
      <c r="J360" s="464">
        <v>0.10344080432788608</v>
      </c>
      <c r="K360" s="188" t="s">
        <v>31</v>
      </c>
      <c r="L360" s="188" t="s">
        <v>31</v>
      </c>
      <c r="M360" s="188" t="s">
        <v>31</v>
      </c>
      <c r="O360" s="416" t="s">
        <v>580</v>
      </c>
      <c r="P360" s="417">
        <v>2</v>
      </c>
      <c r="Q360" s="188" t="s">
        <v>241</v>
      </c>
      <c r="R360" s="415">
        <f>0.001*P360</f>
        <v>2E-3</v>
      </c>
    </row>
    <row r="361" spans="1:18">
      <c r="A361" s="88" t="s">
        <v>758</v>
      </c>
      <c r="B361" s="415">
        <f t="shared" si="41"/>
        <v>1E-3</v>
      </c>
      <c r="C361" s="188" t="s">
        <v>37</v>
      </c>
      <c r="D361" s="188" t="s">
        <v>43</v>
      </c>
      <c r="E361" s="188" t="s">
        <v>44</v>
      </c>
      <c r="F361" s="188" t="s">
        <v>29</v>
      </c>
      <c r="G361" s="188" t="s">
        <v>45</v>
      </c>
      <c r="H361" s="188">
        <v>2</v>
      </c>
      <c r="I361" s="188">
        <f t="shared" si="40"/>
        <v>-6.9077552789821368</v>
      </c>
      <c r="J361" s="464">
        <v>0.10344080432788608</v>
      </c>
      <c r="K361" s="188" t="s">
        <v>31</v>
      </c>
      <c r="L361" s="188" t="s">
        <v>31</v>
      </c>
      <c r="M361" s="188" t="s">
        <v>31</v>
      </c>
      <c r="O361" s="416" t="s">
        <v>580</v>
      </c>
      <c r="P361" s="417">
        <v>1</v>
      </c>
      <c r="Q361" s="188" t="s">
        <v>241</v>
      </c>
      <c r="R361" s="415">
        <f>0.001*P361</f>
        <v>1E-3</v>
      </c>
    </row>
    <row r="362" spans="1:18">
      <c r="A362" s="188" t="s">
        <v>790</v>
      </c>
      <c r="B362" s="415">
        <f>P362</f>
        <v>1.6E-2</v>
      </c>
      <c r="C362" s="188" t="s">
        <v>37</v>
      </c>
      <c r="D362" s="408" t="s">
        <v>2</v>
      </c>
      <c r="E362" s="188" t="s">
        <v>29</v>
      </c>
      <c r="F362" s="37" t="s">
        <v>74</v>
      </c>
      <c r="G362" s="188" t="s">
        <v>33</v>
      </c>
      <c r="H362" s="188">
        <v>2</v>
      </c>
      <c r="I362" s="188">
        <f t="shared" si="40"/>
        <v>-4.1351665567423561</v>
      </c>
      <c r="J362" s="188">
        <v>0.11269427669584645</v>
      </c>
      <c r="K362" s="188" t="s">
        <v>31</v>
      </c>
      <c r="L362" s="188" t="s">
        <v>31</v>
      </c>
      <c r="M362" s="188" t="s">
        <v>31</v>
      </c>
      <c r="O362" s="418" t="s">
        <v>241</v>
      </c>
      <c r="P362" s="453">
        <v>1.6E-2</v>
      </c>
    </row>
    <row r="363" spans="1:18">
      <c r="P363" s="469"/>
    </row>
  </sheetData>
  <pageMargins left="0.7" right="0.7" top="0.75" bottom="0.75" header="0.3" footer="0.3"/>
  <pageSetup paperSize="9"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57014-40CD-403B-A81B-57A2CEFE8342}">
  <sheetPr>
    <tabColor theme="8"/>
  </sheetPr>
  <dimension ref="A1:O266"/>
  <sheetViews>
    <sheetView topLeftCell="A133" zoomScale="115" zoomScaleNormal="115" workbookViewId="0">
      <selection activeCell="B155" sqref="B155"/>
    </sheetView>
  </sheetViews>
  <sheetFormatPr defaultColWidth="8.85546875" defaultRowHeight="14.45"/>
  <cols>
    <col min="1" max="1" width="48.5703125" style="24" bestFit="1" customWidth="1"/>
    <col min="2" max="2" width="43.42578125" style="24" bestFit="1" customWidth="1"/>
    <col min="3" max="3" width="10.140625" style="24" customWidth="1"/>
    <col min="4" max="4" width="31" style="24" bestFit="1" customWidth="1"/>
    <col min="5" max="5" width="12" style="24" customWidth="1"/>
    <col min="6" max="6" width="8.85546875" style="24"/>
    <col min="7" max="7" width="11.5703125" style="24" bestFit="1" customWidth="1"/>
    <col min="8" max="8" width="16.140625" style="24" customWidth="1"/>
    <col min="9" max="11" width="8.85546875" style="24"/>
    <col min="12" max="13" width="11.28515625" style="24" customWidth="1"/>
    <col min="14" max="14" width="12.140625" style="24" customWidth="1"/>
    <col min="15" max="15" width="17.42578125" style="24" customWidth="1"/>
    <col min="16" max="16384" width="8.85546875" style="24"/>
  </cols>
  <sheetData>
    <row r="1" spans="1:15">
      <c r="A1" s="24" t="s">
        <v>0</v>
      </c>
      <c r="B1" s="24">
        <v>13</v>
      </c>
      <c r="C1" s="25"/>
      <c r="O1" s="27" t="str">
        <f ca="1">UPPER(CONCATENATE(DEC2HEX(RANDBETWEEN(0,POWER(16,8)),8),DEC2HEX(RANDBETWEEN(0,POWER(16,4)),4),"4",DEC2HEX(RANDBETWEEN(0,POWER(16,3)),3),DEC2HEX(RANDBETWEEN(8,11)),DEC2HEX(RANDBETWEEN(0,POWER(16,3)),3),DEC2HEX(RANDBETWEEN(0,POWER(16,8)),8),DEC2HEX(RANDBETWEEN(0,POWER(16,4)),4)))</f>
        <v>A6B18D7E99194949B140662C8665A2FD</v>
      </c>
    </row>
    <row r="2" spans="1:15" ht="15.6">
      <c r="A2" s="28" t="s">
        <v>5</v>
      </c>
      <c r="B2" s="28" t="s">
        <v>188</v>
      </c>
      <c r="C2" s="29"/>
      <c r="D2" s="30"/>
      <c r="E2" s="30"/>
      <c r="F2" s="30"/>
      <c r="G2" s="30"/>
      <c r="H2" s="30"/>
      <c r="I2" s="30"/>
      <c r="J2" s="30"/>
      <c r="K2" s="30"/>
      <c r="L2" s="30"/>
      <c r="M2" s="30"/>
      <c r="N2" s="30"/>
    </row>
    <row r="3" spans="1:15" s="27" customFormat="1" ht="12.95">
      <c r="A3" s="27" t="s">
        <v>7</v>
      </c>
      <c r="B3" s="27" t="s">
        <v>184</v>
      </c>
    </row>
    <row r="4" spans="1:15" s="27" customFormat="1" ht="12.95">
      <c r="A4" s="27" t="s">
        <v>9</v>
      </c>
      <c r="B4" s="27" t="s">
        <v>1295</v>
      </c>
    </row>
    <row r="5" spans="1:15" s="27" customFormat="1" ht="12.95">
      <c r="A5" s="27" t="s">
        <v>11</v>
      </c>
      <c r="B5" s="27" t="s">
        <v>1296</v>
      </c>
    </row>
    <row r="6" spans="1:15" s="27" customFormat="1" ht="12.95">
      <c r="A6" s="27" t="s">
        <v>13</v>
      </c>
      <c r="B6" s="27" t="s">
        <v>14</v>
      </c>
    </row>
    <row r="7" spans="1:15" s="27" customFormat="1" ht="12.95">
      <c r="A7" s="27" t="s">
        <v>15</v>
      </c>
      <c r="B7" s="37">
        <v>1</v>
      </c>
    </row>
    <row r="8" spans="1:15" s="27" customFormat="1" ht="12.95">
      <c r="A8" s="27" t="s">
        <v>16</v>
      </c>
      <c r="B8" s="27" t="s">
        <v>17</v>
      </c>
    </row>
    <row r="9" spans="1:15" s="27" customFormat="1" ht="12.95">
      <c r="A9" s="27" t="s">
        <v>18</v>
      </c>
      <c r="B9" s="27" t="s">
        <v>18</v>
      </c>
    </row>
    <row r="10" spans="1:15" ht="15.6">
      <c r="A10" s="26" t="s">
        <v>19</v>
      </c>
    </row>
    <row r="11" spans="1:15"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row>
    <row r="12" spans="1:15" s="27" customFormat="1" ht="12.95">
      <c r="A12" s="27" t="s">
        <v>188</v>
      </c>
      <c r="B12" s="27">
        <f>B7</f>
        <v>1</v>
      </c>
      <c r="C12" s="27" t="str">
        <f>B9</f>
        <v>unit</v>
      </c>
      <c r="D12" s="27" t="s">
        <v>2</v>
      </c>
      <c r="E12" s="27" t="s">
        <v>29</v>
      </c>
      <c r="F12" s="27" t="str">
        <f>B6</f>
        <v>EUR</v>
      </c>
      <c r="G12" s="27" t="s">
        <v>30</v>
      </c>
      <c r="H12" s="27">
        <v>0</v>
      </c>
      <c r="I12" s="27">
        <f>B12</f>
        <v>1</v>
      </c>
      <c r="J12" s="27" t="s">
        <v>31</v>
      </c>
      <c r="K12" s="27" t="s">
        <v>31</v>
      </c>
      <c r="L12" s="27" t="s">
        <v>31</v>
      </c>
      <c r="M12" s="27" t="s">
        <v>31</v>
      </c>
    </row>
    <row r="13" spans="1:15" s="27" customFormat="1" ht="12.95">
      <c r="A13" s="37" t="s">
        <v>1297</v>
      </c>
      <c r="B13" s="42">
        <v>10</v>
      </c>
      <c r="C13" s="27" t="s">
        <v>18</v>
      </c>
      <c r="D13" s="27" t="s">
        <v>2</v>
      </c>
      <c r="E13" s="27" t="s">
        <v>29</v>
      </c>
      <c r="F13" s="27" t="s">
        <v>14</v>
      </c>
      <c r="G13" s="27" t="s">
        <v>33</v>
      </c>
      <c r="H13" s="27">
        <v>0</v>
      </c>
      <c r="I13" s="27">
        <f t="shared" ref="I13:I14" si="0">B13</f>
        <v>10</v>
      </c>
      <c r="J13" s="27" t="s">
        <v>31</v>
      </c>
      <c r="K13" s="27" t="s">
        <v>31</v>
      </c>
      <c r="L13" s="27" t="s">
        <v>31</v>
      </c>
      <c r="M13" s="27" t="s">
        <v>31</v>
      </c>
    </row>
    <row r="14" spans="1:15">
      <c r="A14" s="37" t="s">
        <v>1298</v>
      </c>
      <c r="B14" s="42">
        <v>10</v>
      </c>
      <c r="C14" s="27" t="s">
        <v>18</v>
      </c>
      <c r="D14" s="27" t="s">
        <v>2</v>
      </c>
      <c r="E14" s="27" t="s">
        <v>29</v>
      </c>
      <c r="F14" s="24" t="s">
        <v>59</v>
      </c>
      <c r="G14" s="24" t="s">
        <v>33</v>
      </c>
      <c r="H14" s="27">
        <v>0</v>
      </c>
      <c r="I14" s="27">
        <f t="shared" si="0"/>
        <v>10</v>
      </c>
      <c r="J14" s="27" t="s">
        <v>31</v>
      </c>
      <c r="K14" s="27" t="s">
        <v>31</v>
      </c>
      <c r="L14" s="27" t="s">
        <v>31</v>
      </c>
      <c r="M14" s="27" t="s">
        <v>31</v>
      </c>
    </row>
    <row r="15" spans="1:15" ht="15.6">
      <c r="A15" s="28" t="s">
        <v>5</v>
      </c>
      <c r="B15" s="28" t="s">
        <v>1297</v>
      </c>
      <c r="C15" s="29"/>
      <c r="D15" s="30"/>
      <c r="E15" s="30"/>
      <c r="F15" s="30"/>
      <c r="G15" s="30"/>
      <c r="H15" s="30"/>
      <c r="I15" s="30"/>
      <c r="J15" s="30"/>
      <c r="K15" s="30"/>
      <c r="L15" s="30"/>
      <c r="M15" s="30"/>
      <c r="N15" s="30"/>
    </row>
    <row r="16" spans="1:15" s="27" customFormat="1" ht="12.95">
      <c r="A16" s="27" t="s">
        <v>7</v>
      </c>
      <c r="B16" s="27" t="s">
        <v>184</v>
      </c>
    </row>
    <row r="17" spans="1:14" s="27" customFormat="1" ht="12.95">
      <c r="A17" s="27" t="s">
        <v>9</v>
      </c>
      <c r="B17" s="27" t="s">
        <v>1299</v>
      </c>
    </row>
    <row r="18" spans="1:14" s="27" customFormat="1" ht="12.95">
      <c r="A18" s="27" t="s">
        <v>11</v>
      </c>
      <c r="B18" s="27" t="s">
        <v>1300</v>
      </c>
    </row>
    <row r="19" spans="1:14" s="27" customFormat="1" ht="12.95">
      <c r="A19" s="27" t="s">
        <v>13</v>
      </c>
      <c r="B19" s="27" t="s">
        <v>14</v>
      </c>
    </row>
    <row r="20" spans="1:14" s="27" customFormat="1" ht="12.95">
      <c r="A20" s="27" t="s">
        <v>15</v>
      </c>
      <c r="B20" s="37">
        <v>1</v>
      </c>
    </row>
    <row r="21" spans="1:14" s="27" customFormat="1" ht="12.95">
      <c r="A21" s="27" t="s">
        <v>16</v>
      </c>
      <c r="B21" s="27" t="s">
        <v>17</v>
      </c>
    </row>
    <row r="22" spans="1:14" s="27" customFormat="1" ht="12.95">
      <c r="A22" s="27" t="s">
        <v>18</v>
      </c>
      <c r="B22" s="27" t="s">
        <v>18</v>
      </c>
    </row>
    <row r="23" spans="1:14" ht="15.6">
      <c r="A23" s="26" t="s">
        <v>19</v>
      </c>
    </row>
    <row r="24" spans="1:14" ht="15.6">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187</v>
      </c>
    </row>
    <row r="25" spans="1:14" s="27" customFormat="1" ht="12.95">
      <c r="A25" s="27" t="s">
        <v>1297</v>
      </c>
      <c r="B25" s="27">
        <f>B20</f>
        <v>1</v>
      </c>
      <c r="C25" s="27" t="str">
        <f>B22</f>
        <v>unit</v>
      </c>
      <c r="D25" s="27" t="s">
        <v>2</v>
      </c>
      <c r="E25" s="27" t="s">
        <v>29</v>
      </c>
      <c r="F25" s="27" t="str">
        <f>B19</f>
        <v>EUR</v>
      </c>
      <c r="G25" s="27" t="s">
        <v>30</v>
      </c>
      <c r="H25" s="27">
        <v>0</v>
      </c>
      <c r="I25" s="27">
        <f>B25</f>
        <v>1</v>
      </c>
      <c r="J25" s="27" t="s">
        <v>31</v>
      </c>
      <c r="K25" s="27" t="s">
        <v>31</v>
      </c>
      <c r="L25" s="27" t="s">
        <v>31</v>
      </c>
      <c r="M25" s="27" t="s">
        <v>31</v>
      </c>
    </row>
    <row r="26" spans="1:14" s="27" customFormat="1" ht="12.95">
      <c r="A26" s="37" t="s">
        <v>1301</v>
      </c>
      <c r="B26" s="215">
        <v>0.17655925778457376</v>
      </c>
      <c r="C26" s="27" t="s">
        <v>18</v>
      </c>
      <c r="D26" s="27" t="s">
        <v>2</v>
      </c>
      <c r="E26" s="27" t="s">
        <v>29</v>
      </c>
      <c r="F26" s="27" t="s">
        <v>14</v>
      </c>
      <c r="G26" s="27" t="s">
        <v>33</v>
      </c>
      <c r="H26" s="27">
        <v>2</v>
      </c>
      <c r="I26" s="27">
        <f>LN(B26)</f>
        <v>-1.7340987208000034</v>
      </c>
      <c r="J26" s="27">
        <v>1</v>
      </c>
      <c r="K26" s="27" t="s">
        <v>31</v>
      </c>
      <c r="L26" s="27" t="s">
        <v>31</v>
      </c>
      <c r="M26" s="27" t="s">
        <v>31</v>
      </c>
    </row>
    <row r="27" spans="1:14" s="27" customFormat="1" ht="12.95">
      <c r="A27" s="37" t="s">
        <v>1302</v>
      </c>
      <c r="B27" s="215">
        <v>0.2467047044393175</v>
      </c>
      <c r="C27" s="27" t="s">
        <v>18</v>
      </c>
      <c r="D27" s="27" t="s">
        <v>2</v>
      </c>
      <c r="E27" s="27" t="s">
        <v>29</v>
      </c>
      <c r="F27" s="27" t="s">
        <v>14</v>
      </c>
      <c r="G27" s="27" t="s">
        <v>33</v>
      </c>
      <c r="H27" s="27">
        <v>2</v>
      </c>
      <c r="I27" s="27">
        <f>LN(B27)</f>
        <v>-1.399563186154315</v>
      </c>
      <c r="J27" s="27">
        <v>1</v>
      </c>
      <c r="K27" s="27" t="s">
        <v>31</v>
      </c>
      <c r="L27" s="27" t="s">
        <v>31</v>
      </c>
      <c r="M27" s="27" t="s">
        <v>31</v>
      </c>
    </row>
    <row r="28" spans="1:14" s="27" customFormat="1" ht="12.95">
      <c r="A28" s="37" t="s">
        <v>1303</v>
      </c>
      <c r="B28" s="215">
        <v>0.57673603777610871</v>
      </c>
      <c r="C28" s="27" t="s">
        <v>18</v>
      </c>
      <c r="D28" s="27" t="s">
        <v>2</v>
      </c>
      <c r="E28" s="27" t="s">
        <v>29</v>
      </c>
      <c r="F28" s="27" t="s">
        <v>14</v>
      </c>
      <c r="G28" s="27" t="s">
        <v>33</v>
      </c>
      <c r="H28" s="27">
        <v>2</v>
      </c>
      <c r="I28" s="27">
        <f>LN(B28)</f>
        <v>-0.55037059067191674</v>
      </c>
      <c r="J28" s="27">
        <v>1</v>
      </c>
      <c r="K28" s="27" t="s">
        <v>31</v>
      </c>
      <c r="L28" s="27" t="s">
        <v>31</v>
      </c>
      <c r="M28" s="27" t="s">
        <v>31</v>
      </c>
    </row>
    <row r="29" spans="1:14" ht="15.6">
      <c r="A29" s="28" t="s">
        <v>5</v>
      </c>
      <c r="B29" s="28" t="s">
        <v>1301</v>
      </c>
      <c r="C29" s="29"/>
      <c r="D29" s="30"/>
      <c r="E29" s="30"/>
      <c r="F29" s="30"/>
      <c r="G29" s="30"/>
      <c r="H29" s="30"/>
      <c r="I29" s="30"/>
      <c r="J29" s="30"/>
      <c r="K29" s="30"/>
      <c r="L29" s="30"/>
      <c r="M29" s="30"/>
      <c r="N29" s="30"/>
    </row>
    <row r="30" spans="1:14" s="27" customFormat="1" ht="12.95">
      <c r="A30" s="27" t="s">
        <v>7</v>
      </c>
      <c r="B30" s="27" t="s">
        <v>184</v>
      </c>
    </row>
    <row r="31" spans="1:14" s="27" customFormat="1" ht="12.95">
      <c r="A31" s="27" t="s">
        <v>9</v>
      </c>
      <c r="B31" s="27" t="s">
        <v>1304</v>
      </c>
    </row>
    <row r="32" spans="1:14" s="27" customFormat="1" ht="12.95">
      <c r="A32" s="27" t="s">
        <v>11</v>
      </c>
      <c r="B32" s="27" t="s">
        <v>1305</v>
      </c>
    </row>
    <row r="33" spans="1:14" s="27" customFormat="1" ht="12.95">
      <c r="A33" s="27" t="s">
        <v>13</v>
      </c>
      <c r="B33" s="27" t="s">
        <v>14</v>
      </c>
    </row>
    <row r="34" spans="1:14" s="27" customFormat="1" ht="12.95">
      <c r="A34" s="27" t="s">
        <v>15</v>
      </c>
      <c r="B34" s="37">
        <v>1</v>
      </c>
    </row>
    <row r="35" spans="1:14" s="27" customFormat="1" ht="12.95">
      <c r="A35" s="27" t="s">
        <v>16</v>
      </c>
      <c r="B35" s="27" t="s">
        <v>17</v>
      </c>
    </row>
    <row r="36" spans="1:14" s="27" customFormat="1" ht="12.95">
      <c r="A36" s="27" t="s">
        <v>18</v>
      </c>
      <c r="B36" s="27" t="s">
        <v>18</v>
      </c>
    </row>
    <row r="37" spans="1:14" ht="15.6">
      <c r="A37" s="26" t="s">
        <v>19</v>
      </c>
    </row>
    <row r="38" spans="1:14" ht="15.6">
      <c r="A38" s="26" t="s">
        <v>20</v>
      </c>
      <c r="B38" s="26" t="s">
        <v>21</v>
      </c>
      <c r="C38" s="26" t="s">
        <v>18</v>
      </c>
      <c r="D38" s="26" t="s">
        <v>22</v>
      </c>
      <c r="E38" s="26" t="s">
        <v>7</v>
      </c>
      <c r="F38" s="26" t="s">
        <v>13</v>
      </c>
      <c r="G38" s="26" t="s">
        <v>16</v>
      </c>
      <c r="H38" s="26" t="s">
        <v>23</v>
      </c>
      <c r="I38" s="26" t="s">
        <v>24</v>
      </c>
      <c r="J38" s="26" t="s">
        <v>25</v>
      </c>
      <c r="K38" s="26" t="s">
        <v>26</v>
      </c>
      <c r="L38" s="26" t="s">
        <v>27</v>
      </c>
      <c r="M38" s="26" t="s">
        <v>28</v>
      </c>
      <c r="N38" s="26" t="s">
        <v>187</v>
      </c>
    </row>
    <row r="39" spans="1:14" s="27" customFormat="1" ht="12.95">
      <c r="A39" s="27" t="s">
        <v>1301</v>
      </c>
      <c r="B39" s="27">
        <f>B34</f>
        <v>1</v>
      </c>
      <c r="C39" s="27" t="str">
        <f>B36</f>
        <v>unit</v>
      </c>
      <c r="D39" s="27" t="s">
        <v>2</v>
      </c>
      <c r="E39" s="27" t="s">
        <v>29</v>
      </c>
      <c r="F39" s="27" t="str">
        <f>B33</f>
        <v>EUR</v>
      </c>
      <c r="G39" s="27" t="s">
        <v>30</v>
      </c>
      <c r="H39" s="27">
        <v>0</v>
      </c>
      <c r="I39" s="27">
        <f>B39</f>
        <v>1</v>
      </c>
      <c r="J39" s="27" t="s">
        <v>31</v>
      </c>
      <c r="K39" s="27" t="s">
        <v>31</v>
      </c>
      <c r="L39" s="27" t="s">
        <v>31</v>
      </c>
      <c r="M39" s="27" t="s">
        <v>31</v>
      </c>
    </row>
    <row r="40" spans="1:14" s="27" customFormat="1" ht="12.95">
      <c r="A40" s="27" t="s">
        <v>703</v>
      </c>
      <c r="B40" s="27">
        <v>164429.23565969538</v>
      </c>
      <c r="C40" s="27" t="s">
        <v>37</v>
      </c>
      <c r="D40" s="27" t="s">
        <v>40</v>
      </c>
      <c r="E40" s="27" t="s">
        <v>29</v>
      </c>
      <c r="F40" s="27" t="s">
        <v>59</v>
      </c>
      <c r="G40" s="27" t="s">
        <v>33</v>
      </c>
      <c r="H40" s="27">
        <v>2</v>
      </c>
      <c r="I40" s="27">
        <f>LN(B40)</f>
        <v>12.010235578273795</v>
      </c>
      <c r="J40" s="27">
        <v>1</v>
      </c>
      <c r="K40" s="27" t="s">
        <v>31</v>
      </c>
      <c r="L40" s="27" t="s">
        <v>31</v>
      </c>
      <c r="M40" s="27" t="s">
        <v>31</v>
      </c>
    </row>
    <row r="41" spans="1:14" s="27" customFormat="1" ht="12.95">
      <c r="A41" s="27" t="s">
        <v>687</v>
      </c>
      <c r="B41" s="27">
        <v>24.000180357558872</v>
      </c>
      <c r="C41" s="27" t="s">
        <v>37</v>
      </c>
      <c r="D41" s="27" t="s">
        <v>40</v>
      </c>
      <c r="E41" s="27" t="s">
        <v>29</v>
      </c>
      <c r="F41" s="27" t="s">
        <v>59</v>
      </c>
      <c r="G41" s="27" t="s">
        <v>33</v>
      </c>
      <c r="H41" s="27">
        <v>2</v>
      </c>
      <c r="I41" s="27">
        <f t="shared" ref="I41:I57" si="1">LN(B41)</f>
        <v>3.1780613452179951</v>
      </c>
      <c r="J41" s="27">
        <v>1</v>
      </c>
      <c r="K41" s="27" t="s">
        <v>31</v>
      </c>
      <c r="L41" s="27" t="s">
        <v>31</v>
      </c>
      <c r="M41" s="27" t="s">
        <v>31</v>
      </c>
    </row>
    <row r="42" spans="1:14" s="27" customFormat="1" ht="12.95">
      <c r="A42" s="37" t="s">
        <v>388</v>
      </c>
      <c r="B42" s="42">
        <v>24.000180357558872</v>
      </c>
      <c r="C42" s="27" t="s">
        <v>37</v>
      </c>
      <c r="D42" s="27" t="s">
        <v>40</v>
      </c>
      <c r="E42" s="27" t="s">
        <v>29</v>
      </c>
      <c r="F42" s="27" t="s">
        <v>59</v>
      </c>
      <c r="G42" s="27" t="s">
        <v>33</v>
      </c>
      <c r="H42" s="27">
        <v>2</v>
      </c>
      <c r="I42" s="27">
        <f t="shared" si="1"/>
        <v>3.1780613452179951</v>
      </c>
      <c r="J42" s="27">
        <v>1</v>
      </c>
      <c r="K42" s="27" t="s">
        <v>31</v>
      </c>
      <c r="L42" s="27" t="s">
        <v>31</v>
      </c>
      <c r="M42" s="27" t="s">
        <v>31</v>
      </c>
    </row>
    <row r="43" spans="1:14" s="27" customFormat="1" ht="12.95">
      <c r="A43" s="27" t="s">
        <v>687</v>
      </c>
      <c r="B43" s="42">
        <v>331278.48950544471</v>
      </c>
      <c r="C43" s="27" t="s">
        <v>37</v>
      </c>
      <c r="D43" s="27" t="s">
        <v>40</v>
      </c>
      <c r="E43" s="27" t="s">
        <v>29</v>
      </c>
      <c r="F43" s="27" t="s">
        <v>59</v>
      </c>
      <c r="G43" s="27" t="s">
        <v>33</v>
      </c>
      <c r="H43" s="27">
        <v>2</v>
      </c>
      <c r="I43" s="27">
        <f t="shared" si="1"/>
        <v>12.710714658638434</v>
      </c>
      <c r="J43" s="27">
        <v>1</v>
      </c>
      <c r="K43" s="27" t="s">
        <v>31</v>
      </c>
      <c r="L43" s="27" t="s">
        <v>31</v>
      </c>
      <c r="M43" s="27" t="s">
        <v>31</v>
      </c>
    </row>
    <row r="44" spans="1:14" s="27" customFormat="1" ht="12.95">
      <c r="A44" s="27" t="s">
        <v>1306</v>
      </c>
      <c r="B44" s="42">
        <v>5170.4388550300991</v>
      </c>
      <c r="C44" s="27" t="s">
        <v>37</v>
      </c>
      <c r="D44" s="27" t="s">
        <v>40</v>
      </c>
      <c r="E44" s="27" t="s">
        <v>29</v>
      </c>
      <c r="F44" s="27" t="s">
        <v>1307</v>
      </c>
      <c r="G44" s="27" t="s">
        <v>33</v>
      </c>
      <c r="H44" s="27">
        <v>2</v>
      </c>
      <c r="I44" s="27">
        <f t="shared" si="1"/>
        <v>8.5507128488187352</v>
      </c>
      <c r="J44" s="27">
        <v>1</v>
      </c>
      <c r="K44" s="27" t="s">
        <v>31</v>
      </c>
      <c r="L44" s="27" t="s">
        <v>31</v>
      </c>
      <c r="M44" s="27" t="s">
        <v>31</v>
      </c>
    </row>
    <row r="45" spans="1:14" s="27" customFormat="1" ht="12.95">
      <c r="A45" s="27" t="s">
        <v>1308</v>
      </c>
      <c r="B45" s="42">
        <v>4672.0351096047934</v>
      </c>
      <c r="C45" s="27" t="s">
        <v>37</v>
      </c>
      <c r="D45" s="27" t="s">
        <v>40</v>
      </c>
      <c r="E45" s="27" t="s">
        <v>29</v>
      </c>
      <c r="F45" s="27" t="s">
        <v>59</v>
      </c>
      <c r="G45" s="27" t="s">
        <v>33</v>
      </c>
      <c r="H45" s="27">
        <v>2</v>
      </c>
      <c r="I45" s="27">
        <f t="shared" si="1"/>
        <v>8.4493500393781122</v>
      </c>
      <c r="J45" s="27">
        <v>1</v>
      </c>
      <c r="K45" s="27" t="s">
        <v>31</v>
      </c>
      <c r="L45" s="27" t="s">
        <v>31</v>
      </c>
      <c r="M45" s="27" t="s">
        <v>31</v>
      </c>
    </row>
    <row r="46" spans="1:14" s="27" customFormat="1" ht="12.95">
      <c r="A46" s="27" t="s">
        <v>1309</v>
      </c>
      <c r="B46" s="42">
        <v>152.00114226453951</v>
      </c>
      <c r="C46" s="27" t="s">
        <v>37</v>
      </c>
      <c r="D46" s="27" t="s">
        <v>40</v>
      </c>
      <c r="E46" s="27" t="s">
        <v>29</v>
      </c>
      <c r="F46" s="27" t="s">
        <v>35</v>
      </c>
      <c r="G46" s="27" t="s">
        <v>33</v>
      </c>
      <c r="H46" s="27">
        <v>2</v>
      </c>
      <c r="I46" s="27">
        <f t="shared" si="1"/>
        <v>5.0238880357163263</v>
      </c>
      <c r="J46" s="27">
        <v>1</v>
      </c>
      <c r="K46" s="27" t="s">
        <v>31</v>
      </c>
      <c r="L46" s="27" t="s">
        <v>31</v>
      </c>
      <c r="M46" s="27" t="s">
        <v>31</v>
      </c>
    </row>
    <row r="47" spans="1:14" s="27" customFormat="1" ht="12.95">
      <c r="A47" s="27" t="s">
        <v>1308</v>
      </c>
      <c r="B47" s="42">
        <v>24000.180357558871</v>
      </c>
      <c r="C47" s="27" t="s">
        <v>37</v>
      </c>
      <c r="D47" s="27" t="s">
        <v>40</v>
      </c>
      <c r="E47" s="27" t="s">
        <v>29</v>
      </c>
      <c r="F47" s="27" t="s">
        <v>59</v>
      </c>
      <c r="G47" s="27" t="s">
        <v>33</v>
      </c>
      <c r="H47" s="27">
        <v>2</v>
      </c>
      <c r="I47" s="27">
        <f t="shared" si="1"/>
        <v>10.085816624200133</v>
      </c>
      <c r="J47" s="27">
        <v>1</v>
      </c>
      <c r="K47" s="27" t="s">
        <v>31</v>
      </c>
      <c r="L47" s="27" t="s">
        <v>31</v>
      </c>
      <c r="M47" s="27" t="s">
        <v>31</v>
      </c>
    </row>
    <row r="48" spans="1:14" s="27" customFormat="1" ht="12.95">
      <c r="A48" s="27" t="s">
        <v>536</v>
      </c>
      <c r="B48" s="42">
        <v>17.333463591570297</v>
      </c>
      <c r="C48" s="27" t="s">
        <v>37</v>
      </c>
      <c r="D48" s="27" t="s">
        <v>40</v>
      </c>
      <c r="E48" s="27" t="s">
        <v>29</v>
      </c>
      <c r="F48" s="27" t="s">
        <v>59</v>
      </c>
      <c r="G48" s="27" t="s">
        <v>33</v>
      </c>
      <c r="H48" s="27">
        <v>2</v>
      </c>
      <c r="I48" s="27">
        <f t="shared" si="1"/>
        <v>2.8526389447833673</v>
      </c>
      <c r="J48" s="27">
        <v>1</v>
      </c>
      <c r="K48" s="27" t="s">
        <v>31</v>
      </c>
      <c r="L48" s="27" t="s">
        <v>31</v>
      </c>
      <c r="M48" s="27" t="s">
        <v>31</v>
      </c>
    </row>
    <row r="49" spans="1:14" s="27" customFormat="1" ht="12.95">
      <c r="A49" s="27" t="s">
        <v>541</v>
      </c>
      <c r="B49" s="42">
        <v>17.333463591570297</v>
      </c>
      <c r="C49" s="27" t="s">
        <v>37</v>
      </c>
      <c r="D49" s="27" t="s">
        <v>40</v>
      </c>
      <c r="E49" s="27" t="s">
        <v>29</v>
      </c>
      <c r="F49" s="27" t="s">
        <v>59</v>
      </c>
      <c r="G49" s="27" t="s">
        <v>33</v>
      </c>
      <c r="H49" s="27">
        <v>2</v>
      </c>
      <c r="I49" s="27">
        <f t="shared" si="1"/>
        <v>2.8526389447833673</v>
      </c>
      <c r="J49" s="27">
        <v>1</v>
      </c>
      <c r="K49" s="27" t="s">
        <v>31</v>
      </c>
      <c r="L49" s="27" t="s">
        <v>31</v>
      </c>
      <c r="M49" s="27" t="s">
        <v>31</v>
      </c>
    </row>
    <row r="50" spans="1:14" s="27" customFormat="1" ht="12.95">
      <c r="A50" s="27" t="s">
        <v>1310</v>
      </c>
      <c r="B50" s="42">
        <v>17.333463591570297</v>
      </c>
      <c r="C50" s="27" t="s">
        <v>37</v>
      </c>
      <c r="D50" s="27" t="s">
        <v>40</v>
      </c>
      <c r="E50" s="27" t="s">
        <v>29</v>
      </c>
      <c r="F50" s="27" t="s">
        <v>59</v>
      </c>
      <c r="G50" s="27" t="s">
        <v>33</v>
      </c>
      <c r="H50" s="27">
        <v>2</v>
      </c>
      <c r="I50" s="27">
        <f t="shared" si="1"/>
        <v>2.8526389447833673</v>
      </c>
      <c r="J50" s="27">
        <v>1</v>
      </c>
      <c r="K50" s="27" t="s">
        <v>31</v>
      </c>
      <c r="L50" s="27" t="s">
        <v>31</v>
      </c>
      <c r="M50" s="27" t="s">
        <v>31</v>
      </c>
    </row>
    <row r="51" spans="1:14" s="27" customFormat="1" ht="12.95">
      <c r="A51" s="27" t="s">
        <v>1311</v>
      </c>
      <c r="B51" s="42">
        <v>392.20294734310784</v>
      </c>
      <c r="C51" s="27" t="s">
        <v>37</v>
      </c>
      <c r="D51" s="27" t="s">
        <v>40</v>
      </c>
      <c r="E51" s="27" t="s">
        <v>29</v>
      </c>
      <c r="F51" s="27" t="s">
        <v>35</v>
      </c>
      <c r="G51" s="27" t="s">
        <v>33</v>
      </c>
      <c r="H51" s="27">
        <v>2</v>
      </c>
      <c r="I51" s="27">
        <f t="shared" si="1"/>
        <v>5.9717794286322956</v>
      </c>
      <c r="J51" s="27">
        <v>1</v>
      </c>
      <c r="K51" s="27" t="s">
        <v>31</v>
      </c>
      <c r="L51" s="27" t="s">
        <v>31</v>
      </c>
      <c r="M51" s="27" t="s">
        <v>31</v>
      </c>
    </row>
    <row r="52" spans="1:14" s="27" customFormat="1" ht="12.95">
      <c r="A52" s="27" t="s">
        <v>627</v>
      </c>
      <c r="B52" s="42">
        <v>47936.360234164255</v>
      </c>
      <c r="C52" s="27" t="s">
        <v>37</v>
      </c>
      <c r="D52" s="27" t="s">
        <v>40</v>
      </c>
      <c r="E52" s="27" t="s">
        <v>29</v>
      </c>
      <c r="F52" s="27" t="s">
        <v>35</v>
      </c>
      <c r="G52" s="27" t="s">
        <v>33</v>
      </c>
      <c r="H52" s="27">
        <v>2</v>
      </c>
      <c r="I52" s="27">
        <f t="shared" si="1"/>
        <v>10.777629581746941</v>
      </c>
      <c r="J52" s="27">
        <v>1</v>
      </c>
      <c r="K52" s="27" t="s">
        <v>31</v>
      </c>
      <c r="L52" s="27" t="s">
        <v>31</v>
      </c>
      <c r="M52" s="27" t="s">
        <v>31</v>
      </c>
    </row>
    <row r="53" spans="1:14" s="27" customFormat="1" ht="12.95">
      <c r="A53" s="27" t="s">
        <v>1312</v>
      </c>
      <c r="B53" s="42">
        <v>5156.4387498215228</v>
      </c>
      <c r="C53" s="27" t="s">
        <v>37</v>
      </c>
      <c r="D53" s="27" t="s">
        <v>40</v>
      </c>
      <c r="E53" s="27" t="s">
        <v>29</v>
      </c>
      <c r="F53" s="27" t="s">
        <v>59</v>
      </c>
      <c r="G53" s="27" t="s">
        <v>33</v>
      </c>
      <c r="H53" s="27">
        <v>2</v>
      </c>
      <c r="I53" s="27">
        <f t="shared" si="1"/>
        <v>8.5480014554389996</v>
      </c>
      <c r="J53" s="27">
        <v>1</v>
      </c>
      <c r="K53" s="27" t="s">
        <v>31</v>
      </c>
      <c r="L53" s="27" t="s">
        <v>31</v>
      </c>
      <c r="M53" s="27" t="s">
        <v>31</v>
      </c>
    </row>
    <row r="54" spans="1:14" s="27" customFormat="1" ht="12.95">
      <c r="A54" s="27" t="s">
        <v>614</v>
      </c>
      <c r="B54" s="42">
        <v>5156.4387498215228</v>
      </c>
      <c r="C54" s="27" t="s">
        <v>37</v>
      </c>
      <c r="D54" s="27" t="s">
        <v>40</v>
      </c>
      <c r="E54" s="27" t="s">
        <v>29</v>
      </c>
      <c r="F54" s="27" t="s">
        <v>59</v>
      </c>
      <c r="G54" s="27" t="s">
        <v>33</v>
      </c>
      <c r="H54" s="27">
        <v>2</v>
      </c>
      <c r="I54" s="27">
        <f t="shared" si="1"/>
        <v>8.5480014554389996</v>
      </c>
      <c r="J54" s="27">
        <v>1</v>
      </c>
      <c r="K54" s="27" t="s">
        <v>31</v>
      </c>
      <c r="L54" s="27" t="s">
        <v>31</v>
      </c>
      <c r="M54" s="27" t="s">
        <v>31</v>
      </c>
    </row>
    <row r="55" spans="1:14" s="27" customFormat="1" ht="12.95">
      <c r="A55" s="27" t="s">
        <v>1313</v>
      </c>
      <c r="B55" s="42">
        <v>2063.6155077441035</v>
      </c>
      <c r="C55" s="27" t="s">
        <v>37</v>
      </c>
      <c r="D55" s="27" t="s">
        <v>40</v>
      </c>
      <c r="E55" s="27" t="s">
        <v>29</v>
      </c>
      <c r="F55" s="27" t="s">
        <v>59</v>
      </c>
      <c r="G55" s="27" t="s">
        <v>33</v>
      </c>
      <c r="H55" s="27">
        <v>2</v>
      </c>
      <c r="I55" s="27">
        <f t="shared" si="1"/>
        <v>7.6322148242405445</v>
      </c>
      <c r="J55" s="27">
        <v>1</v>
      </c>
      <c r="K55" s="27" t="s">
        <v>31</v>
      </c>
      <c r="L55" s="27" t="s">
        <v>31</v>
      </c>
      <c r="M55" s="27" t="s">
        <v>31</v>
      </c>
    </row>
    <row r="56" spans="1:14" s="27" customFormat="1" ht="12.95">
      <c r="A56" s="27" t="s">
        <v>145</v>
      </c>
      <c r="B56" s="42">
        <v>14.200106711555664</v>
      </c>
      <c r="C56" s="27" t="s">
        <v>37</v>
      </c>
      <c r="D56" s="27" t="s">
        <v>40</v>
      </c>
      <c r="E56" s="27" t="s">
        <v>29</v>
      </c>
      <c r="F56" s="27" t="s">
        <v>59</v>
      </c>
      <c r="G56" s="27" t="s">
        <v>33</v>
      </c>
      <c r="H56" s="27">
        <v>2</v>
      </c>
      <c r="I56" s="27">
        <f t="shared" si="1"/>
        <v>2.6532494794772647</v>
      </c>
      <c r="J56" s="27">
        <v>1</v>
      </c>
      <c r="K56" s="27" t="s">
        <v>31</v>
      </c>
      <c r="L56" s="27" t="s">
        <v>31</v>
      </c>
      <c r="M56" s="27" t="s">
        <v>31</v>
      </c>
    </row>
    <row r="57" spans="1:14" s="27" customFormat="1" ht="12.95">
      <c r="A57" s="27" t="s">
        <v>1314</v>
      </c>
      <c r="B57" s="42">
        <v>166.80125348503415</v>
      </c>
      <c r="C57" s="27" t="s">
        <v>37</v>
      </c>
      <c r="D57" s="27" t="s">
        <v>40</v>
      </c>
      <c r="E57" s="27" t="s">
        <v>29</v>
      </c>
      <c r="F57" s="27" t="s">
        <v>59</v>
      </c>
      <c r="G57" s="27" t="s">
        <v>33</v>
      </c>
      <c r="H57" s="27">
        <v>2</v>
      </c>
      <c r="I57" s="27">
        <f t="shared" si="1"/>
        <v>5.1168030047946962</v>
      </c>
      <c r="J57" s="27">
        <v>1</v>
      </c>
      <c r="K57" s="27" t="s">
        <v>31</v>
      </c>
      <c r="L57" s="27" t="s">
        <v>31</v>
      </c>
      <c r="M57" s="27" t="s">
        <v>31</v>
      </c>
    </row>
    <row r="58" spans="1:14" ht="15.6">
      <c r="A58" s="28" t="s">
        <v>5</v>
      </c>
      <c r="B58" s="28" t="s">
        <v>1302</v>
      </c>
      <c r="C58" s="29"/>
      <c r="D58" s="30"/>
      <c r="E58" s="30"/>
      <c r="F58" s="30"/>
      <c r="G58" s="30"/>
      <c r="H58" s="30"/>
      <c r="I58" s="30"/>
      <c r="J58" s="30"/>
      <c r="K58" s="30"/>
      <c r="L58" s="30"/>
      <c r="M58" s="30"/>
      <c r="N58" s="30"/>
    </row>
    <row r="59" spans="1:14" s="27" customFormat="1" ht="12.95">
      <c r="A59" s="27" t="s">
        <v>7</v>
      </c>
      <c r="B59" s="27" t="s">
        <v>184</v>
      </c>
    </row>
    <row r="60" spans="1:14" s="27" customFormat="1" ht="12.95">
      <c r="A60" s="27" t="s">
        <v>9</v>
      </c>
      <c r="B60" s="27" t="s">
        <v>1315</v>
      </c>
    </row>
    <row r="61" spans="1:14" s="27" customFormat="1" ht="39">
      <c r="A61" s="27" t="s">
        <v>11</v>
      </c>
      <c r="B61" s="217" t="s">
        <v>1316</v>
      </c>
    </row>
    <row r="62" spans="1:14" s="27" customFormat="1" ht="12.95">
      <c r="A62" s="27" t="s">
        <v>13</v>
      </c>
      <c r="B62" s="27" t="s">
        <v>14</v>
      </c>
    </row>
    <row r="63" spans="1:14" s="27" customFormat="1" ht="12.95">
      <c r="A63" s="27" t="s">
        <v>15</v>
      </c>
      <c r="B63" s="37">
        <v>1</v>
      </c>
    </row>
    <row r="64" spans="1:14" s="27" customFormat="1" ht="12.95">
      <c r="A64" s="27" t="s">
        <v>16</v>
      </c>
      <c r="B64" s="27" t="s">
        <v>17</v>
      </c>
    </row>
    <row r="65" spans="1:14" s="27" customFormat="1" ht="12.95">
      <c r="A65" s="27" t="s">
        <v>18</v>
      </c>
      <c r="B65" s="27" t="s">
        <v>18</v>
      </c>
    </row>
    <row r="66" spans="1:14" ht="15.6">
      <c r="A66" s="26" t="s">
        <v>19</v>
      </c>
    </row>
    <row r="67" spans="1:14" ht="15.6">
      <c r="A67" s="26" t="s">
        <v>20</v>
      </c>
      <c r="B67" s="26" t="s">
        <v>21</v>
      </c>
      <c r="C67" s="26" t="s">
        <v>18</v>
      </c>
      <c r="D67" s="26" t="s">
        <v>22</v>
      </c>
      <c r="E67" s="26" t="s">
        <v>7</v>
      </c>
      <c r="F67" s="26" t="s">
        <v>13</v>
      </c>
      <c r="G67" s="26" t="s">
        <v>16</v>
      </c>
      <c r="H67" s="26" t="s">
        <v>23</v>
      </c>
      <c r="I67" s="26" t="s">
        <v>24</v>
      </c>
      <c r="J67" s="26" t="s">
        <v>25</v>
      </c>
      <c r="K67" s="26" t="s">
        <v>26</v>
      </c>
      <c r="L67" s="26" t="s">
        <v>27</v>
      </c>
      <c r="M67" s="26" t="s">
        <v>28</v>
      </c>
      <c r="N67" s="26" t="s">
        <v>187</v>
      </c>
    </row>
    <row r="68" spans="1:14" s="27" customFormat="1" ht="12.95">
      <c r="A68" s="27" t="s">
        <v>1302</v>
      </c>
      <c r="B68" s="27">
        <f>B63</f>
        <v>1</v>
      </c>
      <c r="C68" s="27" t="str">
        <f>B65</f>
        <v>unit</v>
      </c>
      <c r="D68" s="27" t="s">
        <v>2</v>
      </c>
      <c r="E68" s="27" t="s">
        <v>29</v>
      </c>
      <c r="F68" s="27" t="str">
        <f>B62</f>
        <v>EUR</v>
      </c>
      <c r="G68" s="27" t="s">
        <v>30</v>
      </c>
      <c r="H68" s="27">
        <v>0</v>
      </c>
      <c r="I68" s="27">
        <f>B68</f>
        <v>1</v>
      </c>
      <c r="J68" s="27" t="s">
        <v>31</v>
      </c>
      <c r="K68" s="27" t="s">
        <v>31</v>
      </c>
      <c r="L68" s="27" t="s">
        <v>31</v>
      </c>
      <c r="M68" s="27" t="s">
        <v>31</v>
      </c>
    </row>
    <row r="69" spans="1:14" s="27" customFormat="1" ht="12.95">
      <c r="A69" s="37" t="s">
        <v>1317</v>
      </c>
      <c r="B69" s="27">
        <v>1</v>
      </c>
      <c r="C69" s="27" t="s">
        <v>18</v>
      </c>
      <c r="D69" s="27" t="s">
        <v>2</v>
      </c>
      <c r="E69" s="27" t="s">
        <v>29</v>
      </c>
      <c r="F69" s="27" t="s">
        <v>14</v>
      </c>
      <c r="G69" s="27" t="s">
        <v>33</v>
      </c>
      <c r="H69" s="27">
        <v>2</v>
      </c>
      <c r="I69" s="27">
        <f>LN(B69)</f>
        <v>0</v>
      </c>
      <c r="J69" s="27">
        <v>1</v>
      </c>
      <c r="K69" s="27" t="s">
        <v>31</v>
      </c>
      <c r="L69" s="27" t="s">
        <v>31</v>
      </c>
      <c r="M69" s="27" t="s">
        <v>31</v>
      </c>
    </row>
    <row r="70" spans="1:14" s="27" customFormat="1" ht="12.95">
      <c r="A70" s="27" t="s">
        <v>1318</v>
      </c>
      <c r="B70" s="27">
        <v>1</v>
      </c>
      <c r="C70" s="27" t="s">
        <v>18</v>
      </c>
      <c r="D70" s="27" t="s">
        <v>2</v>
      </c>
      <c r="E70" s="27" t="s">
        <v>29</v>
      </c>
      <c r="F70" s="27" t="s">
        <v>14</v>
      </c>
      <c r="G70" s="27" t="s">
        <v>33</v>
      </c>
      <c r="H70" s="27">
        <v>2</v>
      </c>
      <c r="I70" s="27">
        <f t="shared" ref="I70:I75" si="2">LN(B70)</f>
        <v>0</v>
      </c>
      <c r="J70" s="27">
        <v>1</v>
      </c>
      <c r="K70" s="27" t="s">
        <v>31</v>
      </c>
      <c r="L70" s="27" t="s">
        <v>31</v>
      </c>
      <c r="M70" s="27" t="s">
        <v>31</v>
      </c>
    </row>
    <row r="71" spans="1:14" s="27" customFormat="1" ht="12.95">
      <c r="A71" s="27" t="s">
        <v>1319</v>
      </c>
      <c r="B71" s="27">
        <v>1</v>
      </c>
      <c r="C71" s="27" t="s">
        <v>18</v>
      </c>
      <c r="D71" s="27" t="s">
        <v>2</v>
      </c>
      <c r="E71" s="27" t="s">
        <v>29</v>
      </c>
      <c r="F71" s="27" t="s">
        <v>14</v>
      </c>
      <c r="G71" s="27" t="s">
        <v>33</v>
      </c>
      <c r="H71" s="27">
        <v>2</v>
      </c>
      <c r="I71" s="27">
        <f t="shared" si="2"/>
        <v>0</v>
      </c>
      <c r="J71" s="27">
        <v>1</v>
      </c>
      <c r="K71" s="27" t="s">
        <v>31</v>
      </c>
      <c r="L71" s="27" t="s">
        <v>31</v>
      </c>
      <c r="M71" s="27" t="s">
        <v>31</v>
      </c>
    </row>
    <row r="72" spans="1:14" s="27" customFormat="1" ht="12.95">
      <c r="A72" s="27" t="s">
        <v>1320</v>
      </c>
      <c r="B72" s="27">
        <v>1</v>
      </c>
      <c r="C72" s="27" t="s">
        <v>18</v>
      </c>
      <c r="D72" s="27" t="s">
        <v>2</v>
      </c>
      <c r="E72" s="27" t="s">
        <v>29</v>
      </c>
      <c r="F72" s="27" t="s">
        <v>14</v>
      </c>
      <c r="G72" s="27" t="s">
        <v>33</v>
      </c>
      <c r="H72" s="27">
        <v>2</v>
      </c>
      <c r="I72" s="27">
        <f t="shared" si="2"/>
        <v>0</v>
      </c>
      <c r="J72" s="27">
        <v>1</v>
      </c>
      <c r="K72" s="27" t="s">
        <v>31</v>
      </c>
      <c r="L72" s="27" t="s">
        <v>31</v>
      </c>
      <c r="M72" s="27" t="s">
        <v>31</v>
      </c>
    </row>
    <row r="73" spans="1:14" s="27" customFormat="1" ht="12.95">
      <c r="A73" s="27" t="s">
        <v>1321</v>
      </c>
      <c r="B73" s="27">
        <v>1</v>
      </c>
      <c r="C73" s="27" t="s">
        <v>18</v>
      </c>
      <c r="D73" s="27" t="s">
        <v>2</v>
      </c>
      <c r="E73" s="27" t="s">
        <v>29</v>
      </c>
      <c r="F73" s="27" t="s">
        <v>14</v>
      </c>
      <c r="G73" s="27" t="s">
        <v>33</v>
      </c>
      <c r="H73" s="27">
        <v>2</v>
      </c>
      <c r="I73" s="27">
        <f t="shared" si="2"/>
        <v>0</v>
      </c>
      <c r="J73" s="27">
        <v>1</v>
      </c>
      <c r="K73" s="27" t="s">
        <v>31</v>
      </c>
      <c r="L73" s="27" t="s">
        <v>31</v>
      </c>
      <c r="M73" s="27" t="s">
        <v>31</v>
      </c>
    </row>
    <row r="74" spans="1:14" s="27" customFormat="1" ht="12.95">
      <c r="A74" s="27" t="s">
        <v>1322</v>
      </c>
      <c r="B74" s="27">
        <v>1</v>
      </c>
      <c r="C74" s="27" t="s">
        <v>18</v>
      </c>
      <c r="D74" s="27" t="s">
        <v>2</v>
      </c>
      <c r="E74" s="27" t="s">
        <v>29</v>
      </c>
      <c r="F74" s="27" t="s">
        <v>14</v>
      </c>
      <c r="G74" s="27" t="s">
        <v>33</v>
      </c>
      <c r="H74" s="27">
        <v>2</v>
      </c>
      <c r="I74" s="27">
        <f t="shared" si="2"/>
        <v>0</v>
      </c>
      <c r="J74" s="27">
        <v>1</v>
      </c>
      <c r="K74" s="27" t="s">
        <v>31</v>
      </c>
      <c r="L74" s="27" t="s">
        <v>31</v>
      </c>
      <c r="M74" s="27" t="s">
        <v>31</v>
      </c>
    </row>
    <row r="75" spans="1:14" s="27" customFormat="1" ht="12.95">
      <c r="A75" s="27" t="s">
        <v>1323</v>
      </c>
      <c r="B75" s="27">
        <v>1</v>
      </c>
      <c r="C75" s="27" t="s">
        <v>18</v>
      </c>
      <c r="D75" s="27" t="s">
        <v>2</v>
      </c>
      <c r="E75" s="27" t="s">
        <v>29</v>
      </c>
      <c r="F75" s="27" t="s">
        <v>14</v>
      </c>
      <c r="G75" s="27" t="s">
        <v>33</v>
      </c>
      <c r="H75" s="27">
        <v>2</v>
      </c>
      <c r="I75" s="27">
        <f t="shared" si="2"/>
        <v>0</v>
      </c>
      <c r="J75" s="27">
        <v>1</v>
      </c>
      <c r="K75" s="27" t="s">
        <v>31</v>
      </c>
      <c r="L75" s="27" t="s">
        <v>31</v>
      </c>
      <c r="M75" s="27" t="s">
        <v>31</v>
      </c>
    </row>
    <row r="76" spans="1:14" ht="15.6">
      <c r="A76" s="28" t="s">
        <v>5</v>
      </c>
      <c r="B76" s="28" t="s">
        <v>1317</v>
      </c>
      <c r="C76" s="29"/>
      <c r="D76" s="30"/>
      <c r="E76" s="30"/>
      <c r="F76" s="30"/>
      <c r="G76" s="30"/>
      <c r="H76" s="30"/>
      <c r="I76" s="30"/>
      <c r="J76" s="30"/>
      <c r="K76" s="30"/>
      <c r="L76" s="30"/>
      <c r="M76" s="30"/>
      <c r="N76" s="30"/>
    </row>
    <row r="77" spans="1:14" s="27" customFormat="1" ht="12.95">
      <c r="A77" s="27" t="s">
        <v>7</v>
      </c>
      <c r="B77" s="27" t="s">
        <v>184</v>
      </c>
    </row>
    <row r="78" spans="1:14" s="27" customFormat="1" ht="12.95">
      <c r="A78" s="27" t="s">
        <v>9</v>
      </c>
      <c r="B78" s="27" t="s">
        <v>1324</v>
      </c>
    </row>
    <row r="79" spans="1:14" s="27" customFormat="1" ht="39">
      <c r="A79" s="27" t="s">
        <v>11</v>
      </c>
      <c r="B79" s="217" t="s">
        <v>1325</v>
      </c>
    </row>
    <row r="80" spans="1:14" s="27" customFormat="1" ht="12.95">
      <c r="A80" s="27" t="s">
        <v>13</v>
      </c>
      <c r="B80" s="27" t="s">
        <v>14</v>
      </c>
    </row>
    <row r="81" spans="1:14" s="27" customFormat="1" ht="12.95">
      <c r="A81" s="27" t="s">
        <v>15</v>
      </c>
      <c r="B81" s="37">
        <v>1</v>
      </c>
    </row>
    <row r="82" spans="1:14" s="27" customFormat="1" ht="12.95">
      <c r="A82" s="27" t="s">
        <v>16</v>
      </c>
      <c r="B82" s="27" t="s">
        <v>17</v>
      </c>
    </row>
    <row r="83" spans="1:14" s="27" customFormat="1" ht="12.95">
      <c r="A83" s="27" t="s">
        <v>18</v>
      </c>
      <c r="B83" s="27" t="s">
        <v>18</v>
      </c>
    </row>
    <row r="84" spans="1:14" ht="15.6">
      <c r="A84" s="26" t="s">
        <v>19</v>
      </c>
    </row>
    <row r="85" spans="1:14" ht="15.6">
      <c r="A85" s="26" t="s">
        <v>20</v>
      </c>
      <c r="B85" s="26" t="s">
        <v>21</v>
      </c>
      <c r="C85" s="26" t="s">
        <v>18</v>
      </c>
      <c r="D85" s="26" t="s">
        <v>22</v>
      </c>
      <c r="E85" s="26" t="s">
        <v>7</v>
      </c>
      <c r="F85" s="26" t="s">
        <v>13</v>
      </c>
      <c r="G85" s="26" t="s">
        <v>16</v>
      </c>
      <c r="H85" s="26" t="s">
        <v>23</v>
      </c>
      <c r="I85" s="26" t="s">
        <v>24</v>
      </c>
      <c r="J85" s="26" t="s">
        <v>25</v>
      </c>
      <c r="K85" s="26" t="s">
        <v>26</v>
      </c>
      <c r="L85" s="26" t="s">
        <v>27</v>
      </c>
      <c r="M85" s="26" t="s">
        <v>28</v>
      </c>
      <c r="N85" s="26" t="s">
        <v>187</v>
      </c>
    </row>
    <row r="86" spans="1:14" s="27" customFormat="1" ht="12.95">
      <c r="A86" s="27" t="s">
        <v>1317</v>
      </c>
      <c r="B86" s="27">
        <f>B81</f>
        <v>1</v>
      </c>
      <c r="C86" s="27" t="str">
        <f>B83</f>
        <v>unit</v>
      </c>
      <c r="D86" s="27" t="s">
        <v>2</v>
      </c>
      <c r="E86" s="27" t="s">
        <v>29</v>
      </c>
      <c r="F86" s="27" t="str">
        <f>B80</f>
        <v>EUR</v>
      </c>
      <c r="G86" s="27" t="s">
        <v>30</v>
      </c>
      <c r="H86" s="27">
        <v>0</v>
      </c>
      <c r="I86" s="27">
        <f>B86</f>
        <v>1</v>
      </c>
      <c r="J86" s="27" t="s">
        <v>31</v>
      </c>
      <c r="K86" s="27" t="s">
        <v>31</v>
      </c>
      <c r="L86" s="27" t="s">
        <v>31</v>
      </c>
      <c r="M86" s="27" t="s">
        <v>31</v>
      </c>
    </row>
    <row r="87" spans="1:14" s="27" customFormat="1" ht="12.95">
      <c r="A87" s="27" t="s">
        <v>1326</v>
      </c>
      <c r="B87" s="27">
        <v>21420</v>
      </c>
      <c r="C87" s="27" t="s">
        <v>37</v>
      </c>
      <c r="D87" s="27" t="s">
        <v>40</v>
      </c>
      <c r="E87" s="27" t="s">
        <v>29</v>
      </c>
      <c r="F87" s="27" t="s">
        <v>59</v>
      </c>
      <c r="G87" s="27" t="s">
        <v>33</v>
      </c>
      <c r="H87" s="27">
        <v>2</v>
      </c>
      <c r="I87" s="27">
        <f>LN(B87)</f>
        <v>9.9720803440017391</v>
      </c>
      <c r="J87" s="27">
        <v>1</v>
      </c>
      <c r="K87" s="27" t="s">
        <v>31</v>
      </c>
      <c r="L87" s="27" t="s">
        <v>31</v>
      </c>
      <c r="M87" s="27" t="s">
        <v>31</v>
      </c>
    </row>
    <row r="88" spans="1:14" s="27" customFormat="1" ht="12.95">
      <c r="A88" s="27" t="s">
        <v>687</v>
      </c>
      <c r="B88" s="27">
        <v>50.400000000000006</v>
      </c>
      <c r="C88" s="27" t="s">
        <v>37</v>
      </c>
      <c r="D88" s="27" t="s">
        <v>40</v>
      </c>
      <c r="E88" s="27" t="s">
        <v>29</v>
      </c>
      <c r="F88" s="27" t="s">
        <v>59</v>
      </c>
      <c r="G88" s="27" t="s">
        <v>33</v>
      </c>
      <c r="H88" s="27">
        <v>2</v>
      </c>
      <c r="I88" s="27">
        <f t="shared" ref="I88:I96" si="3">LN(B88)</f>
        <v>3.9199911750773229</v>
      </c>
      <c r="J88" s="27">
        <v>1</v>
      </c>
      <c r="K88" s="27" t="s">
        <v>31</v>
      </c>
      <c r="L88" s="27" t="s">
        <v>31</v>
      </c>
      <c r="M88" s="27" t="s">
        <v>31</v>
      </c>
    </row>
    <row r="89" spans="1:14" s="27" customFormat="1" ht="12.95">
      <c r="A89" s="27" t="s">
        <v>388</v>
      </c>
      <c r="B89" s="27">
        <v>50.400000000000006</v>
      </c>
      <c r="C89" s="27" t="s">
        <v>37</v>
      </c>
      <c r="D89" s="27" t="s">
        <v>40</v>
      </c>
      <c r="E89" s="27" t="s">
        <v>29</v>
      </c>
      <c r="F89" s="27" t="s">
        <v>59</v>
      </c>
      <c r="G89" s="27" t="s">
        <v>33</v>
      </c>
      <c r="H89" s="27">
        <v>2</v>
      </c>
      <c r="I89" s="27">
        <f t="shared" si="3"/>
        <v>3.9199911750773229</v>
      </c>
      <c r="J89" s="27">
        <v>1</v>
      </c>
      <c r="K89" s="27" t="s">
        <v>31</v>
      </c>
      <c r="L89" s="27" t="s">
        <v>31</v>
      </c>
      <c r="M89" s="27" t="s">
        <v>31</v>
      </c>
    </row>
    <row r="90" spans="1:14" s="27" customFormat="1" ht="12.95">
      <c r="A90" s="27" t="s">
        <v>687</v>
      </c>
      <c r="B90" s="27">
        <v>18684</v>
      </c>
      <c r="C90" s="27" t="s">
        <v>37</v>
      </c>
      <c r="D90" s="27" t="s">
        <v>40</v>
      </c>
      <c r="E90" s="27" t="s">
        <v>29</v>
      </c>
      <c r="F90" s="27" t="s">
        <v>59</v>
      </c>
      <c r="G90" s="27" t="s">
        <v>33</v>
      </c>
      <c r="H90" s="27">
        <v>2</v>
      </c>
      <c r="I90" s="27">
        <f t="shared" si="3"/>
        <v>9.8354228216219983</v>
      </c>
      <c r="J90" s="27">
        <v>1</v>
      </c>
      <c r="K90" s="27" t="s">
        <v>31</v>
      </c>
      <c r="L90" s="27" t="s">
        <v>31</v>
      </c>
      <c r="M90" s="27" t="s">
        <v>31</v>
      </c>
    </row>
    <row r="91" spans="1:14" s="27" customFormat="1" ht="12.95">
      <c r="A91" s="27" t="s">
        <v>85</v>
      </c>
      <c r="B91" s="27">
        <v>1530</v>
      </c>
      <c r="C91" s="27" t="s">
        <v>37</v>
      </c>
      <c r="D91" s="27" t="s">
        <v>40</v>
      </c>
      <c r="E91" s="27" t="s">
        <v>29</v>
      </c>
      <c r="F91" s="27" t="s">
        <v>59</v>
      </c>
      <c r="G91" s="27" t="s">
        <v>33</v>
      </c>
      <c r="H91" s="27">
        <v>2</v>
      </c>
      <c r="I91" s="27">
        <f t="shared" si="3"/>
        <v>7.3330230143864812</v>
      </c>
      <c r="J91" s="27">
        <v>1</v>
      </c>
      <c r="K91" s="27" t="s">
        <v>31</v>
      </c>
      <c r="L91" s="27" t="s">
        <v>31</v>
      </c>
      <c r="M91" s="27" t="s">
        <v>31</v>
      </c>
    </row>
    <row r="92" spans="1:14" s="27" customFormat="1" ht="12.95">
      <c r="A92" s="27" t="s">
        <v>120</v>
      </c>
      <c r="B92" s="27">
        <v>4590</v>
      </c>
      <c r="C92" s="27" t="s">
        <v>37</v>
      </c>
      <c r="D92" s="27" t="s">
        <v>40</v>
      </c>
      <c r="E92" s="27" t="s">
        <v>29</v>
      </c>
      <c r="F92" s="27" t="s">
        <v>59</v>
      </c>
      <c r="G92" s="27" t="s">
        <v>33</v>
      </c>
      <c r="H92" s="27">
        <v>2</v>
      </c>
      <c r="I92" s="27">
        <f t="shared" si="3"/>
        <v>8.4316353030545912</v>
      </c>
      <c r="J92" s="27">
        <v>1</v>
      </c>
      <c r="K92" s="27" t="s">
        <v>31</v>
      </c>
      <c r="L92" s="27" t="s">
        <v>31</v>
      </c>
      <c r="M92" s="27" t="s">
        <v>31</v>
      </c>
    </row>
    <row r="93" spans="1:14" s="27" customFormat="1" ht="12.95">
      <c r="A93" s="27" t="s">
        <v>1327</v>
      </c>
      <c r="B93" s="27">
        <v>18.000000000000004</v>
      </c>
      <c r="C93" s="27" t="s">
        <v>37</v>
      </c>
      <c r="D93" s="27" t="s">
        <v>40</v>
      </c>
      <c r="E93" s="27" t="s">
        <v>29</v>
      </c>
      <c r="F93" s="27" t="s">
        <v>59</v>
      </c>
      <c r="G93" s="27" t="s">
        <v>33</v>
      </c>
      <c r="H93" s="27">
        <v>2</v>
      </c>
      <c r="I93" s="27">
        <f t="shared" si="3"/>
        <v>2.890371757896165</v>
      </c>
      <c r="J93" s="27">
        <v>1</v>
      </c>
      <c r="K93" s="27" t="s">
        <v>31</v>
      </c>
      <c r="L93" s="27" t="s">
        <v>31</v>
      </c>
      <c r="M93" s="27" t="s">
        <v>31</v>
      </c>
    </row>
    <row r="94" spans="1:14" s="27" customFormat="1" ht="12.95">
      <c r="A94" s="27" t="s">
        <v>1328</v>
      </c>
      <c r="B94" s="27">
        <v>460.80000000000024</v>
      </c>
      <c r="C94" s="27" t="s">
        <v>37</v>
      </c>
      <c r="D94" s="27" t="s">
        <v>40</v>
      </c>
      <c r="E94" s="27" t="s">
        <v>29</v>
      </c>
      <c r="F94" s="27" t="s">
        <v>82</v>
      </c>
      <c r="G94" s="27" t="s">
        <v>33</v>
      </c>
      <c r="H94" s="27">
        <v>2</v>
      </c>
      <c r="I94" s="27">
        <f t="shared" si="3"/>
        <v>6.1329641093816818</v>
      </c>
      <c r="J94" s="27">
        <v>1</v>
      </c>
      <c r="K94" s="27" t="s">
        <v>31</v>
      </c>
      <c r="L94" s="27" t="s">
        <v>31</v>
      </c>
      <c r="M94" s="27" t="s">
        <v>31</v>
      </c>
    </row>
    <row r="95" spans="1:14" s="27" customFormat="1" ht="12.95">
      <c r="A95" s="27" t="s">
        <v>344</v>
      </c>
      <c r="B95" s="27">
        <v>3855.6000000000008</v>
      </c>
      <c r="C95" s="27" t="s">
        <v>37</v>
      </c>
      <c r="D95" s="27" t="s">
        <v>40</v>
      </c>
      <c r="E95" s="27" t="s">
        <v>29</v>
      </c>
      <c r="F95" s="27" t="s">
        <v>59</v>
      </c>
      <c r="G95" s="27" t="s">
        <v>33</v>
      </c>
      <c r="H95" s="27">
        <v>2</v>
      </c>
      <c r="I95" s="27">
        <f t="shared" si="3"/>
        <v>8.2572819159098128</v>
      </c>
      <c r="J95" s="27">
        <v>1</v>
      </c>
      <c r="K95" s="27" t="s">
        <v>31</v>
      </c>
      <c r="L95" s="27" t="s">
        <v>31</v>
      </c>
      <c r="M95" s="27" t="s">
        <v>31</v>
      </c>
    </row>
    <row r="96" spans="1:14" s="27" customFormat="1" ht="12.95">
      <c r="A96" s="27" t="s">
        <v>121</v>
      </c>
      <c r="B96" s="27">
        <v>144.00000000000003</v>
      </c>
      <c r="C96" s="27" t="s">
        <v>37</v>
      </c>
      <c r="D96" s="27" t="s">
        <v>40</v>
      </c>
      <c r="E96" s="27" t="s">
        <v>29</v>
      </c>
      <c r="F96" s="27" t="s">
        <v>59</v>
      </c>
      <c r="G96" s="27" t="s">
        <v>33</v>
      </c>
      <c r="H96" s="27">
        <v>2</v>
      </c>
      <c r="I96" s="27">
        <f t="shared" si="3"/>
        <v>4.9698132995760007</v>
      </c>
      <c r="J96" s="27">
        <v>1</v>
      </c>
      <c r="K96" s="27" t="s">
        <v>31</v>
      </c>
      <c r="L96" s="27" t="s">
        <v>31</v>
      </c>
      <c r="M96" s="27" t="s">
        <v>31</v>
      </c>
    </row>
    <row r="97" spans="1:14" s="27" customFormat="1" ht="15.6">
      <c r="A97" s="28" t="s">
        <v>5</v>
      </c>
      <c r="B97" s="28" t="s">
        <v>1318</v>
      </c>
      <c r="C97" s="29"/>
      <c r="D97" s="30"/>
      <c r="E97" s="30"/>
      <c r="F97" s="30"/>
      <c r="G97" s="30"/>
      <c r="H97" s="30"/>
      <c r="I97" s="30"/>
      <c r="J97" s="30"/>
      <c r="K97" s="30"/>
      <c r="L97" s="30"/>
      <c r="M97" s="30"/>
      <c r="N97" s="30"/>
    </row>
    <row r="98" spans="1:14" s="27" customFormat="1" ht="12.95">
      <c r="A98" s="27" t="s">
        <v>7</v>
      </c>
      <c r="B98" s="27" t="s">
        <v>184</v>
      </c>
    </row>
    <row r="99" spans="1:14" s="27" customFormat="1" ht="12.95">
      <c r="A99" s="27" t="s">
        <v>9</v>
      </c>
      <c r="B99" s="27" t="s">
        <v>1329</v>
      </c>
    </row>
    <row r="100" spans="1:14" ht="39">
      <c r="A100" s="27" t="s">
        <v>11</v>
      </c>
      <c r="B100" s="217" t="s">
        <v>1330</v>
      </c>
      <c r="C100" s="27"/>
      <c r="D100" s="27"/>
      <c r="E100" s="27"/>
      <c r="F100" s="27"/>
      <c r="G100" s="27"/>
      <c r="H100" s="27"/>
      <c r="I100" s="27"/>
      <c r="J100" s="27"/>
      <c r="K100" s="27"/>
      <c r="L100" s="27"/>
      <c r="M100" s="27"/>
      <c r="N100" s="27"/>
    </row>
    <row r="101" spans="1:14">
      <c r="A101" s="27" t="s">
        <v>13</v>
      </c>
      <c r="B101" s="27" t="s">
        <v>14</v>
      </c>
      <c r="C101" s="27"/>
      <c r="D101" s="27"/>
      <c r="E101" s="27"/>
      <c r="F101" s="27"/>
      <c r="G101" s="27"/>
      <c r="H101" s="27"/>
      <c r="I101" s="27"/>
      <c r="J101" s="27"/>
      <c r="K101" s="27"/>
      <c r="L101" s="27"/>
      <c r="M101" s="27"/>
      <c r="N101" s="27"/>
    </row>
    <row r="102" spans="1:14">
      <c r="A102" s="27" t="s">
        <v>15</v>
      </c>
      <c r="B102" s="37">
        <v>1</v>
      </c>
      <c r="C102" s="27"/>
      <c r="D102" s="27"/>
      <c r="E102" s="27"/>
      <c r="F102" s="27"/>
      <c r="G102" s="27"/>
      <c r="H102" s="27"/>
      <c r="I102" s="27"/>
      <c r="J102" s="27"/>
      <c r="K102" s="27"/>
      <c r="L102" s="27"/>
      <c r="M102" s="27"/>
      <c r="N102" s="27"/>
    </row>
    <row r="103" spans="1:14">
      <c r="A103" s="27" t="s">
        <v>16</v>
      </c>
      <c r="B103" s="27" t="s">
        <v>17</v>
      </c>
      <c r="C103" s="27"/>
      <c r="D103" s="27"/>
      <c r="E103" s="27"/>
      <c r="F103" s="27"/>
      <c r="G103" s="27"/>
      <c r="H103" s="27"/>
      <c r="I103" s="27"/>
      <c r="J103" s="27"/>
      <c r="K103" s="27"/>
      <c r="L103" s="27"/>
      <c r="M103" s="27"/>
      <c r="N103" s="27"/>
    </row>
    <row r="104" spans="1:14">
      <c r="A104" s="27" t="s">
        <v>18</v>
      </c>
      <c r="B104" s="27" t="s">
        <v>18</v>
      </c>
      <c r="C104" s="27"/>
      <c r="D104" s="27"/>
      <c r="E104" s="27"/>
      <c r="F104" s="27"/>
      <c r="G104" s="27"/>
      <c r="H104" s="27"/>
      <c r="I104" s="27"/>
      <c r="J104" s="27"/>
      <c r="K104" s="27"/>
      <c r="L104" s="27"/>
      <c r="M104" s="27"/>
      <c r="N104" s="27"/>
    </row>
    <row r="105" spans="1:14" ht="15.6">
      <c r="A105" s="26" t="s">
        <v>19</v>
      </c>
    </row>
    <row r="106" spans="1:14" ht="15.6">
      <c r="A106" s="26" t="s">
        <v>20</v>
      </c>
      <c r="B106" s="26" t="s">
        <v>21</v>
      </c>
      <c r="C106" s="26" t="s">
        <v>18</v>
      </c>
      <c r="D106" s="26" t="s">
        <v>22</v>
      </c>
      <c r="E106" s="26" t="s">
        <v>7</v>
      </c>
      <c r="F106" s="26" t="s">
        <v>13</v>
      </c>
      <c r="G106" s="26" t="s">
        <v>16</v>
      </c>
      <c r="H106" s="26" t="s">
        <v>23</v>
      </c>
      <c r="I106" s="26" t="s">
        <v>24</v>
      </c>
      <c r="J106" s="26" t="s">
        <v>25</v>
      </c>
      <c r="K106" s="26" t="s">
        <v>26</v>
      </c>
      <c r="L106" s="26" t="s">
        <v>27</v>
      </c>
      <c r="M106" s="26" t="s">
        <v>28</v>
      </c>
      <c r="N106" s="26" t="s">
        <v>187</v>
      </c>
    </row>
    <row r="107" spans="1:14">
      <c r="A107" s="27" t="s">
        <v>1318</v>
      </c>
      <c r="B107" s="27">
        <f>B102</f>
        <v>1</v>
      </c>
      <c r="C107" s="27" t="str">
        <f>B104</f>
        <v>unit</v>
      </c>
      <c r="D107" s="27" t="s">
        <v>2</v>
      </c>
      <c r="E107" s="27" t="s">
        <v>29</v>
      </c>
      <c r="F107" s="27" t="str">
        <f>B101</f>
        <v>EUR</v>
      </c>
      <c r="G107" s="27" t="s">
        <v>30</v>
      </c>
      <c r="H107" s="27">
        <v>0</v>
      </c>
      <c r="I107" s="27">
        <f>B107</f>
        <v>1</v>
      </c>
      <c r="J107" s="27" t="s">
        <v>31</v>
      </c>
      <c r="K107" s="27" t="s">
        <v>31</v>
      </c>
      <c r="L107" s="27" t="s">
        <v>31</v>
      </c>
      <c r="M107" s="27" t="s">
        <v>31</v>
      </c>
      <c r="N107" s="27"/>
    </row>
    <row r="108" spans="1:14">
      <c r="A108" s="37" t="s">
        <v>1326</v>
      </c>
      <c r="B108" s="42">
        <v>73231.199999999983</v>
      </c>
      <c r="C108" s="27" t="s">
        <v>37</v>
      </c>
      <c r="D108" s="27" t="s">
        <v>40</v>
      </c>
      <c r="E108" s="27" t="s">
        <v>29</v>
      </c>
      <c r="F108" s="27" t="s">
        <v>59</v>
      </c>
      <c r="G108" s="27" t="s">
        <v>33</v>
      </c>
      <c r="H108" s="27">
        <v>2</v>
      </c>
      <c r="I108" s="27">
        <f>LN(B108)</f>
        <v>11.201376838647606</v>
      </c>
      <c r="J108" s="27">
        <v>1</v>
      </c>
      <c r="K108" s="27" t="s">
        <v>31</v>
      </c>
      <c r="L108" s="27" t="s">
        <v>31</v>
      </c>
      <c r="M108" s="27" t="s">
        <v>31</v>
      </c>
      <c r="N108" s="27"/>
    </row>
    <row r="109" spans="1:14">
      <c r="A109" s="27" t="s">
        <v>687</v>
      </c>
      <c r="B109" s="42">
        <v>453.59999999999997</v>
      </c>
      <c r="C109" s="27" t="s">
        <v>37</v>
      </c>
      <c r="D109" s="27" t="s">
        <v>40</v>
      </c>
      <c r="E109" s="27" t="s">
        <v>29</v>
      </c>
      <c r="F109" s="27" t="s">
        <v>59</v>
      </c>
      <c r="G109" s="27" t="s">
        <v>33</v>
      </c>
      <c r="H109" s="27">
        <v>2</v>
      </c>
      <c r="I109" s="27">
        <f t="shared" ref="I109:I120" si="4">LN(B109)</f>
        <v>6.117215752413542</v>
      </c>
      <c r="J109" s="27">
        <v>1</v>
      </c>
      <c r="K109" s="27" t="s">
        <v>31</v>
      </c>
      <c r="L109" s="27" t="s">
        <v>31</v>
      </c>
      <c r="M109" s="27" t="s">
        <v>31</v>
      </c>
      <c r="N109" s="27"/>
    </row>
    <row r="110" spans="1:14">
      <c r="A110" s="37" t="s">
        <v>388</v>
      </c>
      <c r="B110" s="42">
        <v>453.59999999999997</v>
      </c>
      <c r="C110" s="27" t="s">
        <v>37</v>
      </c>
      <c r="D110" s="27" t="s">
        <v>40</v>
      </c>
      <c r="E110" s="27" t="s">
        <v>29</v>
      </c>
      <c r="F110" s="27" t="s">
        <v>59</v>
      </c>
      <c r="G110" s="27" t="s">
        <v>33</v>
      </c>
      <c r="H110" s="27">
        <v>2</v>
      </c>
      <c r="I110" s="27">
        <f t="shared" si="4"/>
        <v>6.117215752413542</v>
      </c>
      <c r="J110" s="27">
        <v>1</v>
      </c>
      <c r="K110" s="27" t="s">
        <v>31</v>
      </c>
      <c r="L110" s="27" t="s">
        <v>31</v>
      </c>
      <c r="M110" s="27" t="s">
        <v>31</v>
      </c>
      <c r="N110" s="27"/>
    </row>
    <row r="111" spans="1:14">
      <c r="A111" s="27" t="s">
        <v>687</v>
      </c>
      <c r="B111" s="42">
        <v>21171.599999999999</v>
      </c>
      <c r="C111" s="27" t="s">
        <v>37</v>
      </c>
      <c r="D111" s="27" t="s">
        <v>40</v>
      </c>
      <c r="E111" s="27" t="s">
        <v>29</v>
      </c>
      <c r="F111" s="27" t="s">
        <v>59</v>
      </c>
      <c r="G111" s="27" t="s">
        <v>33</v>
      </c>
      <c r="H111" s="27">
        <v>2</v>
      </c>
      <c r="I111" s="27">
        <f t="shared" si="4"/>
        <v>9.9604159399220205</v>
      </c>
      <c r="J111" s="27">
        <v>1</v>
      </c>
      <c r="K111" s="27" t="s">
        <v>31</v>
      </c>
      <c r="L111" s="27" t="s">
        <v>31</v>
      </c>
      <c r="M111" s="27" t="s">
        <v>31</v>
      </c>
      <c r="N111" s="27"/>
    </row>
    <row r="112" spans="1:14">
      <c r="A112" s="37" t="s">
        <v>85</v>
      </c>
      <c r="B112" s="42">
        <v>71193.599999999991</v>
      </c>
      <c r="C112" s="27" t="s">
        <v>37</v>
      </c>
      <c r="D112" s="27" t="s">
        <v>40</v>
      </c>
      <c r="E112" s="27" t="s">
        <v>29</v>
      </c>
      <c r="F112" s="27" t="s">
        <v>59</v>
      </c>
      <c r="G112" s="27" t="s">
        <v>33</v>
      </c>
      <c r="H112" s="27">
        <v>2</v>
      </c>
      <c r="I112" s="27">
        <f t="shared" si="4"/>
        <v>11.173158205719481</v>
      </c>
      <c r="J112" s="27">
        <v>1</v>
      </c>
      <c r="K112" s="27" t="s">
        <v>31</v>
      </c>
      <c r="L112" s="27" t="s">
        <v>31</v>
      </c>
      <c r="M112" s="27" t="s">
        <v>31</v>
      </c>
      <c r="N112" s="27"/>
    </row>
    <row r="113" spans="1:14">
      <c r="A113" s="37" t="s">
        <v>120</v>
      </c>
      <c r="B113" s="42">
        <v>45126</v>
      </c>
      <c r="C113" s="27" t="s">
        <v>37</v>
      </c>
      <c r="D113" s="27" t="s">
        <v>40</v>
      </c>
      <c r="E113" s="27" t="s">
        <v>29</v>
      </c>
      <c r="F113" s="27" t="s">
        <v>59</v>
      </c>
      <c r="G113" s="27" t="s">
        <v>33</v>
      </c>
      <c r="H113" s="27">
        <v>2</v>
      </c>
      <c r="I113" s="27">
        <f t="shared" si="4"/>
        <v>10.717213856054459</v>
      </c>
      <c r="J113" s="27">
        <v>1</v>
      </c>
      <c r="K113" s="27" t="s">
        <v>31</v>
      </c>
      <c r="L113" s="27" t="s">
        <v>31</v>
      </c>
      <c r="M113" s="27" t="s">
        <v>31</v>
      </c>
      <c r="N113" s="27"/>
    </row>
    <row r="114" spans="1:14">
      <c r="A114" s="37" t="s">
        <v>1328</v>
      </c>
      <c r="B114" s="42">
        <v>802.8</v>
      </c>
      <c r="C114" s="27" t="s">
        <v>37</v>
      </c>
      <c r="D114" s="27" t="s">
        <v>40</v>
      </c>
      <c r="E114" s="27" t="s">
        <v>29</v>
      </c>
      <c r="F114" s="27" t="s">
        <v>82</v>
      </c>
      <c r="G114" s="27" t="s">
        <v>33</v>
      </c>
      <c r="H114" s="27">
        <v>2</v>
      </c>
      <c r="I114" s="27">
        <f t="shared" si="4"/>
        <v>6.6881056169221829</v>
      </c>
      <c r="J114" s="27">
        <v>1</v>
      </c>
      <c r="K114" s="27" t="s">
        <v>31</v>
      </c>
      <c r="L114" s="27" t="s">
        <v>31</v>
      </c>
      <c r="M114" s="27" t="s">
        <v>31</v>
      </c>
      <c r="N114" s="27"/>
    </row>
    <row r="115" spans="1:14">
      <c r="A115" s="37" t="s">
        <v>1331</v>
      </c>
      <c r="B115" s="42">
        <v>54</v>
      </c>
      <c r="C115" s="27" t="s">
        <v>37</v>
      </c>
      <c r="D115" s="27" t="s">
        <v>40</v>
      </c>
      <c r="E115" s="27" t="s">
        <v>29</v>
      </c>
      <c r="F115" s="27" t="s">
        <v>59</v>
      </c>
      <c r="G115" s="27" t="s">
        <v>33</v>
      </c>
      <c r="H115" s="27">
        <v>2</v>
      </c>
      <c r="I115" s="27">
        <f t="shared" si="4"/>
        <v>3.9889840465642745</v>
      </c>
      <c r="J115" s="27">
        <v>1</v>
      </c>
      <c r="K115" s="27" t="s">
        <v>31</v>
      </c>
      <c r="L115" s="27" t="s">
        <v>31</v>
      </c>
      <c r="M115" s="27" t="s">
        <v>31</v>
      </c>
      <c r="N115" s="27"/>
    </row>
    <row r="116" spans="1:14">
      <c r="A116" s="37" t="s">
        <v>344</v>
      </c>
      <c r="B116" s="42">
        <v>9554.4</v>
      </c>
      <c r="C116" s="27" t="s">
        <v>37</v>
      </c>
      <c r="D116" s="27" t="s">
        <v>40</v>
      </c>
      <c r="E116" s="27" t="s">
        <v>29</v>
      </c>
      <c r="F116" s="27" t="s">
        <v>59</v>
      </c>
      <c r="G116" s="27" t="s">
        <v>33</v>
      </c>
      <c r="H116" s="27">
        <v>2</v>
      </c>
      <c r="I116" s="27">
        <f t="shared" si="4"/>
        <v>9.1647570603542174</v>
      </c>
      <c r="J116" s="27">
        <v>1</v>
      </c>
      <c r="K116" s="27" t="s">
        <v>31</v>
      </c>
      <c r="L116" s="27" t="s">
        <v>31</v>
      </c>
      <c r="M116" s="27" t="s">
        <v>31</v>
      </c>
      <c r="N116" s="27"/>
    </row>
    <row r="117" spans="1:14">
      <c r="A117" s="37" t="s">
        <v>1332</v>
      </c>
      <c r="B117" s="42">
        <v>219.59999999999997</v>
      </c>
      <c r="C117" s="27" t="s">
        <v>37</v>
      </c>
      <c r="D117" s="27" t="s">
        <v>40</v>
      </c>
      <c r="E117" s="27" t="s">
        <v>29</v>
      </c>
      <c r="F117" s="27" t="s">
        <v>35</v>
      </c>
      <c r="G117" s="27" t="s">
        <v>33</v>
      </c>
      <c r="H117" s="27">
        <v>2</v>
      </c>
      <c r="I117" s="27">
        <f t="shared" si="4"/>
        <v>5.3918077096353754</v>
      </c>
      <c r="J117" s="27">
        <v>1</v>
      </c>
      <c r="K117" s="27" t="s">
        <v>31</v>
      </c>
      <c r="L117" s="27" t="s">
        <v>31</v>
      </c>
      <c r="M117" s="27" t="s">
        <v>31</v>
      </c>
      <c r="N117" s="27"/>
    </row>
    <row r="118" spans="1:14">
      <c r="A118" s="37" t="s">
        <v>614</v>
      </c>
      <c r="B118" s="42">
        <v>219.59999999999997</v>
      </c>
      <c r="C118" s="27" t="s">
        <v>37</v>
      </c>
      <c r="D118" s="27" t="s">
        <v>40</v>
      </c>
      <c r="E118" s="27" t="s">
        <v>29</v>
      </c>
      <c r="F118" s="27" t="s">
        <v>59</v>
      </c>
      <c r="G118" s="27" t="s">
        <v>33</v>
      </c>
      <c r="H118" s="27">
        <v>2</v>
      </c>
      <c r="I118" s="27">
        <f t="shared" si="4"/>
        <v>5.3918077096353754</v>
      </c>
      <c r="J118" s="27">
        <v>1</v>
      </c>
      <c r="K118" s="27" t="s">
        <v>31</v>
      </c>
      <c r="L118" s="27" t="s">
        <v>31</v>
      </c>
      <c r="M118" s="27" t="s">
        <v>31</v>
      </c>
      <c r="N118" s="27"/>
    </row>
    <row r="119" spans="1:14">
      <c r="A119" s="37" t="s">
        <v>121</v>
      </c>
      <c r="B119" s="42">
        <v>1684.7999999999997</v>
      </c>
      <c r="C119" s="27" t="s">
        <v>37</v>
      </c>
      <c r="D119" s="27" t="s">
        <v>40</v>
      </c>
      <c r="E119" s="27" t="s">
        <v>29</v>
      </c>
      <c r="F119" s="27" t="s">
        <v>59</v>
      </c>
      <c r="G119" s="27" t="s">
        <v>33</v>
      </c>
      <c r="H119" s="27">
        <v>2</v>
      </c>
      <c r="I119" s="27">
        <f t="shared" si="4"/>
        <v>7.4294021413797111</v>
      </c>
      <c r="J119" s="27">
        <v>1</v>
      </c>
      <c r="K119" s="27" t="s">
        <v>31</v>
      </c>
      <c r="L119" s="27" t="s">
        <v>31</v>
      </c>
      <c r="M119" s="27" t="s">
        <v>31</v>
      </c>
      <c r="N119" s="27"/>
    </row>
    <row r="120" spans="1:14">
      <c r="A120" s="37" t="s">
        <v>1333</v>
      </c>
      <c r="B120" s="42">
        <v>1367.9999999999998</v>
      </c>
      <c r="C120" s="27" t="s">
        <v>37</v>
      </c>
      <c r="D120" s="27" t="s">
        <v>40</v>
      </c>
      <c r="E120" s="27" t="s">
        <v>29</v>
      </c>
      <c r="F120" s="27" t="s">
        <v>59</v>
      </c>
      <c r="G120" s="27" t="s">
        <v>33</v>
      </c>
      <c r="H120" s="27">
        <v>2</v>
      </c>
      <c r="I120" s="27">
        <f t="shared" si="4"/>
        <v>7.2211050981824956</v>
      </c>
      <c r="J120" s="27">
        <v>1</v>
      </c>
      <c r="K120" s="27" t="s">
        <v>31</v>
      </c>
      <c r="L120" s="27" t="s">
        <v>31</v>
      </c>
      <c r="M120" s="27" t="s">
        <v>31</v>
      </c>
      <c r="N120" s="27"/>
    </row>
    <row r="121" spans="1:14" ht="15.6">
      <c r="A121" s="28" t="s">
        <v>5</v>
      </c>
      <c r="B121" s="28" t="s">
        <v>1319</v>
      </c>
      <c r="C121" s="29"/>
      <c r="D121" s="30"/>
      <c r="E121" s="30"/>
      <c r="F121" s="30"/>
      <c r="G121" s="30"/>
      <c r="H121" s="30"/>
      <c r="I121" s="30"/>
      <c r="J121" s="30"/>
      <c r="K121" s="30"/>
      <c r="L121" s="30"/>
      <c r="M121" s="30"/>
      <c r="N121" s="30"/>
    </row>
    <row r="122" spans="1:14">
      <c r="A122" s="27" t="s">
        <v>7</v>
      </c>
      <c r="B122" s="27" t="s">
        <v>184</v>
      </c>
      <c r="C122" s="27"/>
      <c r="D122" s="27"/>
      <c r="E122" s="27"/>
      <c r="F122" s="27"/>
      <c r="G122" s="27"/>
      <c r="H122" s="27"/>
      <c r="I122" s="27"/>
      <c r="J122" s="27"/>
      <c r="K122" s="27"/>
      <c r="L122" s="27"/>
      <c r="M122" s="27"/>
      <c r="N122" s="27"/>
    </row>
    <row r="123" spans="1:14">
      <c r="A123" s="27" t="s">
        <v>9</v>
      </c>
      <c r="B123" s="27" t="s">
        <v>1334</v>
      </c>
      <c r="C123" s="27"/>
      <c r="D123" s="27"/>
      <c r="E123" s="27"/>
      <c r="F123" s="27"/>
      <c r="G123" s="27"/>
      <c r="H123" s="27"/>
      <c r="I123" s="27"/>
      <c r="J123" s="27"/>
      <c r="K123" s="27"/>
      <c r="L123" s="27"/>
      <c r="M123" s="27"/>
      <c r="N123" s="27"/>
    </row>
    <row r="124" spans="1:14" ht="39">
      <c r="A124" s="27" t="s">
        <v>11</v>
      </c>
      <c r="B124" s="217" t="s">
        <v>1335</v>
      </c>
      <c r="C124" s="27"/>
      <c r="D124" s="27"/>
      <c r="E124" s="27"/>
      <c r="F124" s="27"/>
      <c r="G124" s="27"/>
      <c r="H124" s="27"/>
      <c r="I124" s="27"/>
      <c r="J124" s="27"/>
      <c r="K124" s="27"/>
      <c r="L124" s="27"/>
      <c r="M124" s="27"/>
      <c r="N124" s="27"/>
    </row>
    <row r="125" spans="1:14">
      <c r="A125" s="27" t="s">
        <v>13</v>
      </c>
      <c r="B125" s="27" t="s">
        <v>14</v>
      </c>
      <c r="C125" s="27"/>
      <c r="D125" s="27"/>
      <c r="E125" s="27"/>
      <c r="F125" s="27"/>
      <c r="G125" s="27"/>
      <c r="H125" s="27"/>
      <c r="I125" s="27"/>
      <c r="J125" s="27"/>
      <c r="K125" s="27"/>
      <c r="L125" s="27"/>
      <c r="M125" s="27"/>
      <c r="N125" s="27"/>
    </row>
    <row r="126" spans="1:14">
      <c r="A126" s="27" t="s">
        <v>15</v>
      </c>
      <c r="B126" s="37">
        <v>1</v>
      </c>
      <c r="C126" s="27"/>
      <c r="D126" s="27"/>
      <c r="E126" s="27"/>
      <c r="F126" s="27"/>
      <c r="G126" s="27"/>
      <c r="H126" s="27"/>
      <c r="I126" s="27"/>
      <c r="J126" s="27"/>
      <c r="K126" s="27"/>
      <c r="L126" s="27"/>
      <c r="M126" s="27"/>
      <c r="N126" s="27"/>
    </row>
    <row r="127" spans="1:14">
      <c r="A127" s="27" t="s">
        <v>16</v>
      </c>
      <c r="B127" s="27" t="s">
        <v>17</v>
      </c>
      <c r="C127" s="27"/>
      <c r="D127" s="27"/>
      <c r="E127" s="27"/>
      <c r="F127" s="27"/>
      <c r="G127" s="27"/>
      <c r="H127" s="27"/>
      <c r="I127" s="27"/>
      <c r="J127" s="27"/>
      <c r="K127" s="27"/>
      <c r="L127" s="27"/>
      <c r="M127" s="27"/>
      <c r="N127" s="27"/>
    </row>
    <row r="128" spans="1:14">
      <c r="A128" s="27" t="s">
        <v>18</v>
      </c>
      <c r="B128" s="27" t="s">
        <v>18</v>
      </c>
      <c r="C128" s="27"/>
      <c r="D128" s="27"/>
      <c r="E128" s="27"/>
      <c r="F128" s="27"/>
      <c r="G128" s="27"/>
      <c r="H128" s="27"/>
      <c r="I128" s="27"/>
      <c r="J128" s="27"/>
      <c r="K128" s="27"/>
      <c r="L128" s="27"/>
      <c r="M128" s="27"/>
      <c r="N128" s="27"/>
    </row>
    <row r="129" spans="1:14" ht="15.6">
      <c r="A129" s="26" t="s">
        <v>19</v>
      </c>
    </row>
    <row r="130" spans="1:14" ht="15.6">
      <c r="A130" s="26" t="s">
        <v>20</v>
      </c>
      <c r="B130" s="26" t="s">
        <v>21</v>
      </c>
      <c r="C130" s="26" t="s">
        <v>18</v>
      </c>
      <c r="D130" s="26" t="s">
        <v>22</v>
      </c>
      <c r="E130" s="26" t="s">
        <v>7</v>
      </c>
      <c r="F130" s="26" t="s">
        <v>13</v>
      </c>
      <c r="G130" s="26" t="s">
        <v>16</v>
      </c>
      <c r="H130" s="26" t="s">
        <v>23</v>
      </c>
      <c r="I130" s="26" t="s">
        <v>24</v>
      </c>
      <c r="J130" s="26" t="s">
        <v>25</v>
      </c>
      <c r="K130" s="26" t="s">
        <v>26</v>
      </c>
      <c r="L130" s="26" t="s">
        <v>27</v>
      </c>
      <c r="M130" s="26" t="s">
        <v>28</v>
      </c>
      <c r="N130" s="26" t="s">
        <v>187</v>
      </c>
    </row>
    <row r="131" spans="1:14">
      <c r="A131" s="27" t="s">
        <v>1319</v>
      </c>
      <c r="B131" s="27">
        <f>B126</f>
        <v>1</v>
      </c>
      <c r="C131" s="27" t="str">
        <f>B128</f>
        <v>unit</v>
      </c>
      <c r="D131" s="27" t="s">
        <v>2</v>
      </c>
      <c r="E131" s="27" t="s">
        <v>29</v>
      </c>
      <c r="F131" s="27" t="str">
        <f>B125</f>
        <v>EUR</v>
      </c>
      <c r="G131" s="27" t="s">
        <v>30</v>
      </c>
      <c r="H131" s="27">
        <v>0</v>
      </c>
      <c r="I131" s="27">
        <f>B131</f>
        <v>1</v>
      </c>
      <c r="J131" s="27" t="s">
        <v>31</v>
      </c>
      <c r="K131" s="27" t="s">
        <v>31</v>
      </c>
      <c r="L131" s="27" t="s">
        <v>31</v>
      </c>
      <c r="M131" s="27" t="s">
        <v>31</v>
      </c>
      <c r="N131" s="27"/>
    </row>
    <row r="132" spans="1:14">
      <c r="A132" s="27" t="s">
        <v>1326</v>
      </c>
      <c r="B132" s="27">
        <v>140400.00000000003</v>
      </c>
      <c r="C132" s="27" t="s">
        <v>37</v>
      </c>
      <c r="D132" s="27" t="s">
        <v>40</v>
      </c>
      <c r="E132" s="27" t="s">
        <v>29</v>
      </c>
      <c r="F132" s="27" t="s">
        <v>59</v>
      </c>
      <c r="G132" s="27" t="s">
        <v>33</v>
      </c>
      <c r="H132" s="27">
        <v>2</v>
      </c>
      <c r="I132" s="27">
        <f t="shared" ref="I132:I137" si="5">LN(B132)</f>
        <v>11.852250770573848</v>
      </c>
      <c r="J132" s="27">
        <v>1</v>
      </c>
      <c r="K132" s="27" t="s">
        <v>31</v>
      </c>
      <c r="L132" s="27" t="s">
        <v>31</v>
      </c>
      <c r="M132" s="27" t="s">
        <v>31</v>
      </c>
      <c r="N132" s="27"/>
    </row>
    <row r="133" spans="1:14">
      <c r="A133" s="27" t="s">
        <v>1326</v>
      </c>
      <c r="B133" s="27">
        <v>88200.090000000011</v>
      </c>
      <c r="C133" s="27" t="s">
        <v>37</v>
      </c>
      <c r="D133" s="27" t="s">
        <v>40</v>
      </c>
      <c r="E133" s="27" t="s">
        <v>29</v>
      </c>
      <c r="F133" s="27" t="s">
        <v>59</v>
      </c>
      <c r="G133" s="27" t="s">
        <v>33</v>
      </c>
      <c r="H133" s="27">
        <v>2</v>
      </c>
      <c r="I133" s="27">
        <f t="shared" si="5"/>
        <v>11.387363262402525</v>
      </c>
      <c r="J133" s="27">
        <v>1</v>
      </c>
      <c r="K133" s="27" t="s">
        <v>31</v>
      </c>
      <c r="L133" s="27" t="s">
        <v>31</v>
      </c>
      <c r="M133" s="27" t="s">
        <v>31</v>
      </c>
      <c r="N133" s="27"/>
    </row>
    <row r="134" spans="1:14">
      <c r="A134" s="27" t="s">
        <v>388</v>
      </c>
      <c r="B134" s="27">
        <v>88200.090000000011</v>
      </c>
      <c r="C134" s="27" t="s">
        <v>37</v>
      </c>
      <c r="D134" s="27" t="s">
        <v>40</v>
      </c>
      <c r="E134" s="27" t="s">
        <v>29</v>
      </c>
      <c r="F134" s="27" t="s">
        <v>59</v>
      </c>
      <c r="G134" s="27" t="s">
        <v>33</v>
      </c>
      <c r="H134" s="27">
        <v>2</v>
      </c>
      <c r="I134" s="27">
        <f t="shared" si="5"/>
        <v>11.387363262402525</v>
      </c>
      <c r="J134" s="27">
        <v>1</v>
      </c>
      <c r="K134" s="27" t="s">
        <v>31</v>
      </c>
      <c r="L134" s="27" t="s">
        <v>31</v>
      </c>
      <c r="M134" s="27" t="s">
        <v>31</v>
      </c>
      <c r="N134" s="27"/>
    </row>
    <row r="135" spans="1:14">
      <c r="A135" s="27" t="s">
        <v>85</v>
      </c>
      <c r="B135" s="27">
        <v>12960.000000000004</v>
      </c>
      <c r="C135" s="27" t="s">
        <v>37</v>
      </c>
      <c r="D135" s="27" t="s">
        <v>40</v>
      </c>
      <c r="E135" s="27" t="s">
        <v>29</v>
      </c>
      <c r="F135" s="27" t="s">
        <v>59</v>
      </c>
      <c r="G135" s="27" t="s">
        <v>33</v>
      </c>
      <c r="H135" s="27">
        <v>2</v>
      </c>
      <c r="I135" s="27">
        <f t="shared" si="5"/>
        <v>9.4696229699062666</v>
      </c>
      <c r="J135" s="27">
        <v>1</v>
      </c>
      <c r="K135" s="27" t="s">
        <v>31</v>
      </c>
      <c r="L135" s="27" t="s">
        <v>31</v>
      </c>
      <c r="M135" s="27" t="s">
        <v>31</v>
      </c>
      <c r="N135" s="27"/>
    </row>
    <row r="136" spans="1:14">
      <c r="A136" s="27" t="s">
        <v>120</v>
      </c>
      <c r="B136" s="27">
        <v>87840</v>
      </c>
      <c r="C136" s="27" t="s">
        <v>37</v>
      </c>
      <c r="D136" s="27" t="s">
        <v>40</v>
      </c>
      <c r="E136" s="27" t="s">
        <v>29</v>
      </c>
      <c r="F136" s="27" t="s">
        <v>59</v>
      </c>
      <c r="G136" s="27" t="s">
        <v>33</v>
      </c>
      <c r="H136" s="27">
        <v>2</v>
      </c>
      <c r="I136" s="27">
        <f t="shared" si="5"/>
        <v>11.383272256743357</v>
      </c>
      <c r="J136" s="27">
        <v>1</v>
      </c>
      <c r="K136" s="27" t="s">
        <v>31</v>
      </c>
      <c r="L136" s="27" t="s">
        <v>31</v>
      </c>
      <c r="M136" s="27" t="s">
        <v>31</v>
      </c>
      <c r="N136" s="27"/>
    </row>
    <row r="137" spans="1:14">
      <c r="A137" s="27" t="s">
        <v>344</v>
      </c>
      <c r="B137" s="27">
        <v>12600.000000000002</v>
      </c>
      <c r="C137" s="27" t="s">
        <v>37</v>
      </c>
      <c r="D137" s="27" t="s">
        <v>40</v>
      </c>
      <c r="E137" s="27" t="s">
        <v>29</v>
      </c>
      <c r="F137" s="27" t="s">
        <v>59</v>
      </c>
      <c r="G137" s="27" t="s">
        <v>33</v>
      </c>
      <c r="H137" s="27">
        <v>2</v>
      </c>
      <c r="I137" s="27">
        <f t="shared" si="5"/>
        <v>9.4414520929395689</v>
      </c>
      <c r="J137" s="27">
        <v>1</v>
      </c>
      <c r="K137" s="27" t="s">
        <v>31</v>
      </c>
      <c r="L137" s="27" t="s">
        <v>31</v>
      </c>
      <c r="M137" s="27" t="s">
        <v>31</v>
      </c>
      <c r="N137" s="27"/>
    </row>
    <row r="138" spans="1:14" ht="15.6">
      <c r="A138" s="28" t="s">
        <v>5</v>
      </c>
      <c r="B138" s="28" t="s">
        <v>1320</v>
      </c>
      <c r="C138" s="29"/>
      <c r="D138" s="30"/>
      <c r="E138" s="30"/>
      <c r="F138" s="30"/>
      <c r="G138" s="30"/>
      <c r="H138" s="30"/>
      <c r="I138" s="30"/>
      <c r="J138" s="30"/>
      <c r="K138" s="30"/>
      <c r="L138" s="30"/>
      <c r="M138" s="30"/>
      <c r="N138" s="30"/>
    </row>
    <row r="139" spans="1:14">
      <c r="A139" s="27" t="s">
        <v>7</v>
      </c>
      <c r="B139" s="27" t="s">
        <v>184</v>
      </c>
      <c r="C139" s="27"/>
      <c r="D139" s="27"/>
      <c r="E139" s="27"/>
      <c r="F139" s="27"/>
      <c r="G139" s="27"/>
      <c r="H139" s="27"/>
      <c r="I139" s="27"/>
      <c r="J139" s="27"/>
      <c r="K139" s="27"/>
      <c r="L139" s="27"/>
      <c r="M139" s="27"/>
      <c r="N139" s="27"/>
    </row>
    <row r="140" spans="1:14">
      <c r="A140" s="27" t="s">
        <v>9</v>
      </c>
      <c r="B140" s="27" t="s">
        <v>1336</v>
      </c>
      <c r="C140" s="27"/>
      <c r="D140" s="27"/>
      <c r="E140" s="27"/>
      <c r="F140" s="27"/>
      <c r="G140" s="27"/>
      <c r="H140" s="27"/>
      <c r="I140" s="27"/>
      <c r="J140" s="27"/>
      <c r="K140" s="27"/>
      <c r="L140" s="27"/>
      <c r="M140" s="27"/>
      <c r="N140" s="27"/>
    </row>
    <row r="141" spans="1:14" ht="39">
      <c r="A141" s="27" t="s">
        <v>11</v>
      </c>
      <c r="B141" s="217" t="s">
        <v>1337</v>
      </c>
      <c r="C141" s="27"/>
      <c r="D141" s="27"/>
      <c r="E141" s="27"/>
      <c r="F141" s="27"/>
      <c r="G141" s="27"/>
      <c r="H141" s="27"/>
      <c r="I141" s="27"/>
      <c r="J141" s="27"/>
      <c r="K141" s="27"/>
      <c r="L141" s="27"/>
      <c r="M141" s="27"/>
      <c r="N141" s="27"/>
    </row>
    <row r="142" spans="1:14">
      <c r="A142" s="27" t="s">
        <v>13</v>
      </c>
      <c r="B142" s="27" t="s">
        <v>14</v>
      </c>
      <c r="C142" s="27"/>
      <c r="D142" s="27"/>
      <c r="E142" s="27"/>
      <c r="F142" s="27"/>
      <c r="G142" s="27"/>
      <c r="H142" s="27"/>
      <c r="I142" s="27"/>
      <c r="J142" s="27"/>
      <c r="K142" s="27"/>
      <c r="L142" s="27"/>
      <c r="M142" s="27"/>
      <c r="N142" s="27"/>
    </row>
    <row r="143" spans="1:14">
      <c r="A143" s="27" t="s">
        <v>15</v>
      </c>
      <c r="B143" s="37">
        <v>1</v>
      </c>
      <c r="C143" s="27"/>
      <c r="D143" s="27"/>
      <c r="E143" s="27"/>
      <c r="F143" s="27"/>
      <c r="G143" s="27"/>
      <c r="H143" s="27"/>
      <c r="I143" s="27"/>
      <c r="J143" s="27"/>
      <c r="K143" s="27"/>
      <c r="L143" s="27"/>
      <c r="M143" s="27"/>
      <c r="N143" s="27"/>
    </row>
    <row r="144" spans="1:14">
      <c r="A144" s="27" t="s">
        <v>16</v>
      </c>
      <c r="B144" s="27" t="s">
        <v>17</v>
      </c>
      <c r="C144" s="27"/>
      <c r="D144" s="27"/>
      <c r="E144" s="27"/>
      <c r="F144" s="27"/>
      <c r="G144" s="27"/>
      <c r="H144" s="27"/>
      <c r="I144" s="27"/>
      <c r="J144" s="27"/>
      <c r="K144" s="27"/>
      <c r="L144" s="27"/>
      <c r="M144" s="27"/>
      <c r="N144" s="27"/>
    </row>
    <row r="145" spans="1:14">
      <c r="A145" s="27" t="s">
        <v>18</v>
      </c>
      <c r="B145" s="27" t="s">
        <v>18</v>
      </c>
      <c r="C145" s="27"/>
      <c r="D145" s="27"/>
      <c r="E145" s="27"/>
      <c r="F145" s="27"/>
      <c r="G145" s="27"/>
      <c r="H145" s="27"/>
      <c r="I145" s="27"/>
      <c r="J145" s="27"/>
      <c r="K145" s="27"/>
      <c r="L145" s="27"/>
      <c r="M145" s="27"/>
      <c r="N145" s="27"/>
    </row>
    <row r="146" spans="1:14" ht="15.6">
      <c r="A146" s="26" t="s">
        <v>19</v>
      </c>
    </row>
    <row r="147" spans="1:14" ht="15.6">
      <c r="A147" s="26" t="s">
        <v>20</v>
      </c>
      <c r="B147" s="26" t="s">
        <v>21</v>
      </c>
      <c r="C147" s="26" t="s">
        <v>18</v>
      </c>
      <c r="D147" s="26" t="s">
        <v>22</v>
      </c>
      <c r="E147" s="26" t="s">
        <v>7</v>
      </c>
      <c r="F147" s="26" t="s">
        <v>13</v>
      </c>
      <c r="G147" s="26" t="s">
        <v>16</v>
      </c>
      <c r="H147" s="26" t="s">
        <v>23</v>
      </c>
      <c r="I147" s="26" t="s">
        <v>24</v>
      </c>
      <c r="J147" s="26" t="s">
        <v>25</v>
      </c>
      <c r="K147" s="26" t="s">
        <v>26</v>
      </c>
      <c r="L147" s="26" t="s">
        <v>27</v>
      </c>
      <c r="M147" s="26" t="s">
        <v>28</v>
      </c>
      <c r="N147" s="26" t="s">
        <v>187</v>
      </c>
    </row>
    <row r="148" spans="1:14">
      <c r="A148" s="27" t="s">
        <v>1320</v>
      </c>
      <c r="B148" s="27">
        <f>B143</f>
        <v>1</v>
      </c>
      <c r="C148" s="27" t="str">
        <f>B145</f>
        <v>unit</v>
      </c>
      <c r="D148" s="27" t="s">
        <v>2</v>
      </c>
      <c r="E148" s="27" t="s">
        <v>29</v>
      </c>
      <c r="F148" s="27" t="str">
        <f>B142</f>
        <v>EUR</v>
      </c>
      <c r="G148" s="27" t="s">
        <v>30</v>
      </c>
      <c r="H148" s="27">
        <v>0</v>
      </c>
      <c r="I148" s="27">
        <f>B148</f>
        <v>1</v>
      </c>
      <c r="J148" s="27" t="s">
        <v>31</v>
      </c>
      <c r="K148" s="27" t="s">
        <v>31</v>
      </c>
      <c r="L148" s="27" t="s">
        <v>31</v>
      </c>
      <c r="M148" s="27" t="s">
        <v>31</v>
      </c>
      <c r="N148" s="27"/>
    </row>
    <row r="149" spans="1:14">
      <c r="A149" s="37" t="s">
        <v>1326</v>
      </c>
      <c r="B149" s="42">
        <v>1836.0000000000002</v>
      </c>
      <c r="C149" s="27" t="s">
        <v>37</v>
      </c>
      <c r="D149" s="27" t="s">
        <v>40</v>
      </c>
      <c r="E149" s="27" t="s">
        <v>29</v>
      </c>
      <c r="F149" s="27" t="s">
        <v>59</v>
      </c>
      <c r="G149" s="27" t="s">
        <v>33</v>
      </c>
      <c r="H149" s="27">
        <v>2</v>
      </c>
      <c r="I149" s="27">
        <f t="shared" ref="I149:I166" si="6">LN(B149)</f>
        <v>7.5153445711804361</v>
      </c>
      <c r="J149" s="27">
        <v>1</v>
      </c>
      <c r="K149" s="27" t="s">
        <v>31</v>
      </c>
      <c r="L149" s="27" t="s">
        <v>31</v>
      </c>
      <c r="M149" s="27" t="s">
        <v>31</v>
      </c>
      <c r="N149" s="27"/>
    </row>
    <row r="150" spans="1:14">
      <c r="A150" s="37" t="s">
        <v>687</v>
      </c>
      <c r="B150" s="42">
        <v>1836.0000000000002</v>
      </c>
      <c r="C150" s="27" t="s">
        <v>37</v>
      </c>
      <c r="D150" s="27" t="s">
        <v>40</v>
      </c>
      <c r="E150" s="27" t="s">
        <v>29</v>
      </c>
      <c r="F150" s="27" t="s">
        <v>59</v>
      </c>
      <c r="G150" s="27" t="s">
        <v>33</v>
      </c>
      <c r="H150" s="27">
        <v>2</v>
      </c>
      <c r="I150" s="27">
        <f t="shared" si="6"/>
        <v>7.5153445711804361</v>
      </c>
      <c r="J150" s="27">
        <v>1</v>
      </c>
      <c r="K150" s="27" t="s">
        <v>31</v>
      </c>
      <c r="L150" s="27" t="s">
        <v>31</v>
      </c>
      <c r="M150" s="27" t="s">
        <v>31</v>
      </c>
      <c r="N150" s="27"/>
    </row>
    <row r="151" spans="1:14">
      <c r="A151" s="37" t="s">
        <v>388</v>
      </c>
      <c r="B151" s="42">
        <v>162.00000000000003</v>
      </c>
      <c r="C151" s="27" t="s">
        <v>37</v>
      </c>
      <c r="D151" s="27" t="s">
        <v>40</v>
      </c>
      <c r="E151" s="27" t="s">
        <v>29</v>
      </c>
      <c r="F151" s="27" t="s">
        <v>59</v>
      </c>
      <c r="G151" s="27" t="s">
        <v>33</v>
      </c>
      <c r="H151" s="27">
        <v>2</v>
      </c>
      <c r="I151" s="27">
        <f t="shared" si="6"/>
        <v>5.0875963352323845</v>
      </c>
      <c r="J151" s="27">
        <v>1</v>
      </c>
      <c r="K151" s="27" t="s">
        <v>31</v>
      </c>
      <c r="L151" s="27" t="s">
        <v>31</v>
      </c>
      <c r="M151" s="27" t="s">
        <v>31</v>
      </c>
      <c r="N151" s="27"/>
    </row>
    <row r="152" spans="1:14">
      <c r="A152" s="27" t="s">
        <v>687</v>
      </c>
      <c r="B152" s="42">
        <v>5691.6</v>
      </c>
      <c r="C152" s="27" t="s">
        <v>37</v>
      </c>
      <c r="D152" s="27" t="s">
        <v>40</v>
      </c>
      <c r="E152" s="27" t="s">
        <v>29</v>
      </c>
      <c r="F152" s="27" t="s">
        <v>59</v>
      </c>
      <c r="G152" s="27" t="s">
        <v>33</v>
      </c>
      <c r="H152" s="27">
        <v>2</v>
      </c>
      <c r="I152" s="27">
        <f t="shared" si="6"/>
        <v>8.6467466826715356</v>
      </c>
      <c r="J152" s="27">
        <v>1</v>
      </c>
      <c r="K152" s="27" t="s">
        <v>31</v>
      </c>
      <c r="L152" s="27" t="s">
        <v>31</v>
      </c>
      <c r="M152" s="27" t="s">
        <v>31</v>
      </c>
      <c r="N152" s="27"/>
    </row>
    <row r="153" spans="1:14">
      <c r="A153" s="27" t="s">
        <v>85</v>
      </c>
      <c r="B153" s="42">
        <v>828</v>
      </c>
      <c r="C153" s="27" t="s">
        <v>37</v>
      </c>
      <c r="D153" s="27" t="s">
        <v>40</v>
      </c>
      <c r="E153" s="27" t="s">
        <v>29</v>
      </c>
      <c r="F153" s="27" t="s">
        <v>59</v>
      </c>
      <c r="G153" s="27" t="s">
        <v>33</v>
      </c>
      <c r="H153" s="27">
        <v>2</v>
      </c>
      <c r="I153" s="27">
        <f t="shared" si="6"/>
        <v>6.7190131543852596</v>
      </c>
      <c r="J153" s="27">
        <v>1</v>
      </c>
      <c r="K153" s="27" t="s">
        <v>31</v>
      </c>
      <c r="L153" s="27" t="s">
        <v>31</v>
      </c>
      <c r="M153" s="27" t="s">
        <v>31</v>
      </c>
      <c r="N153" s="27"/>
    </row>
    <row r="154" spans="1:14">
      <c r="A154" s="27" t="s">
        <v>120</v>
      </c>
      <c r="B154" s="42">
        <v>1087.2000000000003</v>
      </c>
      <c r="C154" s="27" t="s">
        <v>37</v>
      </c>
      <c r="D154" s="27" t="s">
        <v>40</v>
      </c>
      <c r="E154" s="27" t="s">
        <v>29</v>
      </c>
      <c r="F154" s="27" t="s">
        <v>59</v>
      </c>
      <c r="G154" s="27" t="s">
        <v>33</v>
      </c>
      <c r="H154" s="27">
        <v>2</v>
      </c>
      <c r="I154" s="27">
        <f t="shared" si="6"/>
        <v>6.9913608628369346</v>
      </c>
      <c r="J154" s="27">
        <v>1</v>
      </c>
      <c r="K154" s="27" t="s">
        <v>31</v>
      </c>
      <c r="L154" s="27" t="s">
        <v>31</v>
      </c>
      <c r="M154" s="27" t="s">
        <v>31</v>
      </c>
      <c r="N154" s="27"/>
    </row>
    <row r="155" spans="1:14">
      <c r="A155" s="37" t="s">
        <v>1327</v>
      </c>
      <c r="B155" s="42">
        <v>54.000000000000007</v>
      </c>
      <c r="C155" s="27" t="s">
        <v>37</v>
      </c>
      <c r="D155" s="27" t="s">
        <v>40</v>
      </c>
      <c r="E155" s="27" t="s">
        <v>29</v>
      </c>
      <c r="F155" s="27" t="s">
        <v>59</v>
      </c>
      <c r="G155" s="27" t="s">
        <v>33</v>
      </c>
      <c r="H155" s="27">
        <v>2</v>
      </c>
      <c r="I155" s="27">
        <f t="shared" si="6"/>
        <v>3.9889840465642745</v>
      </c>
      <c r="J155" s="27">
        <v>1</v>
      </c>
      <c r="K155" s="27" t="s">
        <v>31</v>
      </c>
      <c r="L155" s="27" t="s">
        <v>31</v>
      </c>
      <c r="M155" s="27" t="s">
        <v>31</v>
      </c>
      <c r="N155" s="27"/>
    </row>
    <row r="156" spans="1:14">
      <c r="A156" s="37" t="s">
        <v>1328</v>
      </c>
      <c r="B156" s="42">
        <v>72.000000000000014</v>
      </c>
      <c r="C156" s="27" t="s">
        <v>37</v>
      </c>
      <c r="D156" s="27" t="s">
        <v>40</v>
      </c>
      <c r="E156" s="27" t="s">
        <v>29</v>
      </c>
      <c r="F156" s="27" t="s">
        <v>82</v>
      </c>
      <c r="G156" s="27" t="s">
        <v>33</v>
      </c>
      <c r="H156" s="27">
        <v>2</v>
      </c>
      <c r="I156" s="27">
        <f t="shared" si="6"/>
        <v>4.2766661190160553</v>
      </c>
      <c r="J156" s="27">
        <v>1</v>
      </c>
      <c r="K156" s="27" t="s">
        <v>31</v>
      </c>
      <c r="L156" s="27" t="s">
        <v>31</v>
      </c>
      <c r="M156" s="27" t="s">
        <v>31</v>
      </c>
      <c r="N156" s="27"/>
    </row>
    <row r="157" spans="1:14">
      <c r="A157" s="37" t="s">
        <v>1338</v>
      </c>
      <c r="B157" s="42">
        <v>16632.000000000004</v>
      </c>
      <c r="C157" s="27" t="s">
        <v>37</v>
      </c>
      <c r="D157" s="27" t="s">
        <v>40</v>
      </c>
      <c r="E157" s="27" t="s">
        <v>29</v>
      </c>
      <c r="F157" s="27" t="s">
        <v>82</v>
      </c>
      <c r="G157" s="27" t="s">
        <v>33</v>
      </c>
      <c r="H157" s="27">
        <v>2</v>
      </c>
      <c r="I157" s="27">
        <f t="shared" si="6"/>
        <v>9.7190838295378494</v>
      </c>
      <c r="J157" s="27">
        <v>1</v>
      </c>
      <c r="K157" s="27" t="s">
        <v>31</v>
      </c>
      <c r="L157" s="27" t="s">
        <v>31</v>
      </c>
      <c r="M157" s="27" t="s">
        <v>31</v>
      </c>
      <c r="N157" s="37" t="s">
        <v>1339</v>
      </c>
    </row>
    <row r="158" spans="1:14">
      <c r="A158" s="37" t="s">
        <v>1331</v>
      </c>
      <c r="B158" s="42">
        <v>8575.2000000000007</v>
      </c>
      <c r="C158" s="27" t="s">
        <v>37</v>
      </c>
      <c r="D158" s="27" t="s">
        <v>40</v>
      </c>
      <c r="E158" s="27" t="s">
        <v>29</v>
      </c>
      <c r="F158" s="27" t="s">
        <v>59</v>
      </c>
      <c r="G158" s="27" t="s">
        <v>33</v>
      </c>
      <c r="H158" s="27">
        <v>2</v>
      </c>
      <c r="I158" s="27">
        <f t="shared" si="6"/>
        <v>9.0566295953773093</v>
      </c>
      <c r="J158" s="27">
        <v>1</v>
      </c>
      <c r="K158" s="27" t="s">
        <v>31</v>
      </c>
      <c r="L158" s="27" t="s">
        <v>31</v>
      </c>
      <c r="M158" s="27" t="s">
        <v>31</v>
      </c>
      <c r="N158" s="27"/>
    </row>
    <row r="159" spans="1:14">
      <c r="A159" s="37" t="s">
        <v>344</v>
      </c>
      <c r="B159" s="42">
        <v>2192.4</v>
      </c>
      <c r="C159" s="27" t="s">
        <v>37</v>
      </c>
      <c r="D159" s="27" t="s">
        <v>40</v>
      </c>
      <c r="E159" s="27" t="s">
        <v>29</v>
      </c>
      <c r="F159" s="27" t="s">
        <v>59</v>
      </c>
      <c r="G159" s="27" t="s">
        <v>33</v>
      </c>
      <c r="H159" s="27">
        <v>2</v>
      </c>
      <c r="I159" s="27">
        <f t="shared" si="6"/>
        <v>7.6927521131719612</v>
      </c>
      <c r="J159" s="27">
        <v>1</v>
      </c>
      <c r="K159" s="27" t="s">
        <v>31</v>
      </c>
      <c r="L159" s="27" t="s">
        <v>31</v>
      </c>
      <c r="M159" s="27" t="s">
        <v>31</v>
      </c>
      <c r="N159" s="27"/>
    </row>
    <row r="160" spans="1:14">
      <c r="A160" s="27" t="s">
        <v>1312</v>
      </c>
      <c r="B160" s="42">
        <v>1227.6000000000001</v>
      </c>
      <c r="C160" s="27" t="s">
        <v>37</v>
      </c>
      <c r="D160" s="27" t="s">
        <v>40</v>
      </c>
      <c r="E160" s="27" t="s">
        <v>29</v>
      </c>
      <c r="F160" s="27" t="s">
        <v>59</v>
      </c>
      <c r="G160" s="27" t="s">
        <v>33</v>
      </c>
      <c r="H160" s="27">
        <v>2</v>
      </c>
      <c r="I160" s="27">
        <f t="shared" si="6"/>
        <v>7.112816322745581</v>
      </c>
      <c r="J160" s="27">
        <v>1</v>
      </c>
      <c r="K160" s="27" t="s">
        <v>31</v>
      </c>
      <c r="L160" s="27" t="s">
        <v>31</v>
      </c>
      <c r="M160" s="27" t="s">
        <v>31</v>
      </c>
      <c r="N160" s="27"/>
    </row>
    <row r="161" spans="1:14">
      <c r="A161" s="27" t="s">
        <v>614</v>
      </c>
      <c r="B161" s="42">
        <v>1227.6000000000001</v>
      </c>
      <c r="C161" s="27" t="s">
        <v>37</v>
      </c>
      <c r="D161" s="27" t="s">
        <v>40</v>
      </c>
      <c r="E161" s="27" t="s">
        <v>29</v>
      </c>
      <c r="F161" s="27" t="s">
        <v>59</v>
      </c>
      <c r="G161" s="27" t="s">
        <v>33</v>
      </c>
      <c r="H161" s="27">
        <v>2</v>
      </c>
      <c r="I161" s="27">
        <f t="shared" si="6"/>
        <v>7.112816322745581</v>
      </c>
      <c r="J161" s="27">
        <v>1</v>
      </c>
      <c r="K161" s="27" t="s">
        <v>31</v>
      </c>
      <c r="L161" s="27" t="s">
        <v>31</v>
      </c>
      <c r="M161" s="27" t="s">
        <v>31</v>
      </c>
      <c r="N161" s="27"/>
    </row>
    <row r="162" spans="1:14">
      <c r="A162" s="37" t="s">
        <v>1340</v>
      </c>
      <c r="B162" s="42">
        <v>8280.0000000000018</v>
      </c>
      <c r="C162" s="27" t="s">
        <v>37</v>
      </c>
      <c r="D162" s="27" t="s">
        <v>40</v>
      </c>
      <c r="E162" s="27" t="s">
        <v>29</v>
      </c>
      <c r="F162" s="27" t="s">
        <v>59</v>
      </c>
      <c r="G162" s="27" t="s">
        <v>33</v>
      </c>
      <c r="H162" s="27">
        <v>2</v>
      </c>
      <c r="I162" s="27">
        <f t="shared" si="6"/>
        <v>9.0215982473793055</v>
      </c>
      <c r="J162" s="27">
        <v>1</v>
      </c>
      <c r="K162" s="27" t="s">
        <v>31</v>
      </c>
      <c r="L162" s="27" t="s">
        <v>31</v>
      </c>
      <c r="M162" s="27" t="s">
        <v>31</v>
      </c>
      <c r="N162" s="27"/>
    </row>
    <row r="163" spans="1:14">
      <c r="A163" s="37" t="s">
        <v>121</v>
      </c>
      <c r="B163" s="42">
        <v>4633.2000000000007</v>
      </c>
      <c r="C163" s="27" t="s">
        <v>37</v>
      </c>
      <c r="D163" s="27" t="s">
        <v>40</v>
      </c>
      <c r="E163" s="27" t="s">
        <v>29</v>
      </c>
      <c r="F163" s="27" t="s">
        <v>59</v>
      </c>
      <c r="G163" s="27" t="s">
        <v>33</v>
      </c>
      <c r="H163" s="27">
        <v>2</v>
      </c>
      <c r="I163" s="27">
        <f t="shared" si="6"/>
        <v>8.441003053058191</v>
      </c>
      <c r="J163" s="27">
        <v>1</v>
      </c>
      <c r="K163" s="27" t="s">
        <v>31</v>
      </c>
      <c r="L163" s="27" t="s">
        <v>31</v>
      </c>
      <c r="M163" s="27" t="s">
        <v>31</v>
      </c>
      <c r="N163" s="27"/>
    </row>
    <row r="164" spans="1:14">
      <c r="A164" s="37" t="s">
        <v>145</v>
      </c>
      <c r="B164" s="42">
        <v>18.000000000000004</v>
      </c>
      <c r="C164" s="27" t="s">
        <v>37</v>
      </c>
      <c r="D164" s="27" t="s">
        <v>40</v>
      </c>
      <c r="E164" s="27" t="s">
        <v>29</v>
      </c>
      <c r="F164" s="27" t="s">
        <v>59</v>
      </c>
      <c r="G164" s="27" t="s">
        <v>33</v>
      </c>
      <c r="H164" s="27">
        <v>2</v>
      </c>
      <c r="I164" s="27">
        <f t="shared" si="6"/>
        <v>2.890371757896165</v>
      </c>
      <c r="J164" s="27">
        <v>1</v>
      </c>
      <c r="K164" s="27" t="s">
        <v>31</v>
      </c>
      <c r="L164" s="27" t="s">
        <v>31</v>
      </c>
      <c r="M164" s="27" t="s">
        <v>31</v>
      </c>
      <c r="N164" s="27" t="s">
        <v>1341</v>
      </c>
    </row>
    <row r="165" spans="1:14" s="27" customFormat="1" ht="12.95">
      <c r="A165" s="37" t="s">
        <v>155</v>
      </c>
      <c r="B165" s="42">
        <v>126.00000000000001</v>
      </c>
      <c r="C165" s="27" t="s">
        <v>37</v>
      </c>
      <c r="D165" s="27" t="s">
        <v>40</v>
      </c>
      <c r="E165" s="27" t="s">
        <v>29</v>
      </c>
      <c r="F165" s="27" t="s">
        <v>82</v>
      </c>
      <c r="G165" s="27" t="s">
        <v>33</v>
      </c>
      <c r="H165" s="27">
        <v>2</v>
      </c>
      <c r="I165" s="27">
        <f t="shared" si="6"/>
        <v>4.836281906951478</v>
      </c>
      <c r="J165" s="27">
        <v>1</v>
      </c>
      <c r="K165" s="27" t="s">
        <v>31</v>
      </c>
      <c r="L165" s="27" t="s">
        <v>31</v>
      </c>
      <c r="M165" s="27" t="s">
        <v>31</v>
      </c>
    </row>
    <row r="166" spans="1:14" s="27" customFormat="1" ht="12.95">
      <c r="A166" s="27" t="s">
        <v>1342</v>
      </c>
      <c r="B166" s="42">
        <v>1270.8</v>
      </c>
      <c r="C166" s="27" t="s">
        <v>37</v>
      </c>
      <c r="D166" s="27" t="s">
        <v>40</v>
      </c>
      <c r="E166" s="27" t="s">
        <v>29</v>
      </c>
      <c r="F166" s="27" t="s">
        <v>59</v>
      </c>
      <c r="G166" s="27" t="s">
        <v>33</v>
      </c>
      <c r="H166" s="27">
        <v>2</v>
      </c>
      <c r="I166" s="27">
        <f t="shared" si="6"/>
        <v>7.1474019023953614</v>
      </c>
      <c r="J166" s="27">
        <v>1</v>
      </c>
      <c r="K166" s="27" t="s">
        <v>31</v>
      </c>
      <c r="L166" s="27" t="s">
        <v>31</v>
      </c>
      <c r="M166" s="27" t="s">
        <v>31</v>
      </c>
    </row>
    <row r="167" spans="1:14" ht="15.6">
      <c r="A167" s="28" t="s">
        <v>5</v>
      </c>
      <c r="B167" s="28" t="s">
        <v>1321</v>
      </c>
      <c r="C167" s="29"/>
      <c r="D167" s="30"/>
      <c r="E167" s="30"/>
      <c r="F167" s="30"/>
      <c r="G167" s="30"/>
      <c r="H167" s="30"/>
      <c r="I167" s="30"/>
      <c r="J167" s="30"/>
      <c r="K167" s="30"/>
      <c r="L167" s="30"/>
      <c r="M167" s="30"/>
      <c r="N167" s="30"/>
    </row>
    <row r="168" spans="1:14">
      <c r="A168" s="27" t="s">
        <v>7</v>
      </c>
      <c r="B168" s="27" t="s">
        <v>184</v>
      </c>
      <c r="C168" s="27"/>
      <c r="D168" s="27"/>
      <c r="E168" s="27"/>
      <c r="F168" s="27"/>
      <c r="G168" s="27"/>
      <c r="H168" s="27"/>
      <c r="I168" s="27"/>
      <c r="J168" s="27"/>
      <c r="K168" s="27"/>
      <c r="L168" s="27"/>
      <c r="M168" s="27"/>
      <c r="N168" s="27"/>
    </row>
    <row r="169" spans="1:14">
      <c r="A169" s="27" t="s">
        <v>9</v>
      </c>
      <c r="B169" s="27" t="s">
        <v>1343</v>
      </c>
      <c r="C169" s="27"/>
      <c r="D169" s="27"/>
      <c r="E169" s="27"/>
      <c r="F169" s="27"/>
      <c r="G169" s="27"/>
      <c r="H169" s="27"/>
      <c r="I169" s="27"/>
      <c r="J169" s="27"/>
      <c r="K169" s="27"/>
      <c r="L169" s="27"/>
      <c r="M169" s="27"/>
      <c r="N169" s="27"/>
    </row>
    <row r="170" spans="1:14" ht="39">
      <c r="A170" s="27" t="s">
        <v>11</v>
      </c>
      <c r="B170" s="217" t="s">
        <v>1344</v>
      </c>
      <c r="C170" s="27"/>
      <c r="D170" s="27"/>
      <c r="E170" s="27"/>
      <c r="F170" s="27"/>
      <c r="G170" s="27"/>
      <c r="H170" s="27"/>
      <c r="I170" s="27"/>
      <c r="J170" s="27"/>
      <c r="K170" s="27"/>
      <c r="L170" s="27"/>
      <c r="M170" s="27"/>
      <c r="N170" s="27"/>
    </row>
    <row r="171" spans="1:14">
      <c r="A171" s="27" t="s">
        <v>13</v>
      </c>
      <c r="B171" s="27" t="s">
        <v>14</v>
      </c>
      <c r="C171" s="27"/>
      <c r="D171" s="27"/>
      <c r="E171" s="27"/>
      <c r="F171" s="27"/>
      <c r="G171" s="27"/>
      <c r="H171" s="27"/>
      <c r="I171" s="27"/>
      <c r="J171" s="27"/>
      <c r="K171" s="27"/>
      <c r="L171" s="27"/>
      <c r="M171" s="27"/>
      <c r="N171" s="27"/>
    </row>
    <row r="172" spans="1:14">
      <c r="A172" s="27" t="s">
        <v>15</v>
      </c>
      <c r="B172" s="37">
        <v>1</v>
      </c>
      <c r="C172" s="27"/>
      <c r="D172" s="27"/>
      <c r="E172" s="27"/>
      <c r="F172" s="27"/>
      <c r="G172" s="27"/>
      <c r="H172" s="27"/>
      <c r="I172" s="27"/>
      <c r="J172" s="27"/>
      <c r="K172" s="27"/>
      <c r="L172" s="27"/>
      <c r="M172" s="27"/>
      <c r="N172" s="27"/>
    </row>
    <row r="173" spans="1:14">
      <c r="A173" s="27" t="s">
        <v>16</v>
      </c>
      <c r="B173" s="27" t="s">
        <v>17</v>
      </c>
      <c r="C173" s="27"/>
      <c r="D173" s="27"/>
      <c r="E173" s="27"/>
      <c r="F173" s="27"/>
      <c r="G173" s="27"/>
      <c r="H173" s="27"/>
      <c r="I173" s="27"/>
      <c r="J173" s="27"/>
      <c r="K173" s="27"/>
      <c r="L173" s="27"/>
      <c r="M173" s="27"/>
      <c r="N173" s="27"/>
    </row>
    <row r="174" spans="1:14">
      <c r="A174" s="27" t="s">
        <v>18</v>
      </c>
      <c r="B174" s="27" t="s">
        <v>18</v>
      </c>
      <c r="C174" s="27"/>
      <c r="D174" s="27"/>
      <c r="E174" s="27"/>
      <c r="F174" s="27"/>
      <c r="G174" s="27"/>
      <c r="H174" s="27"/>
      <c r="I174" s="27"/>
      <c r="J174" s="27"/>
      <c r="K174" s="27"/>
      <c r="L174" s="27"/>
      <c r="M174" s="27"/>
      <c r="N174" s="27"/>
    </row>
    <row r="175" spans="1:14" ht="15.6">
      <c r="A175" s="26" t="s">
        <v>19</v>
      </c>
    </row>
    <row r="176" spans="1:14" ht="15.6">
      <c r="A176" s="26" t="s">
        <v>20</v>
      </c>
      <c r="B176" s="26" t="s">
        <v>21</v>
      </c>
      <c r="C176" s="26" t="s">
        <v>18</v>
      </c>
      <c r="D176" s="26" t="s">
        <v>22</v>
      </c>
      <c r="E176" s="26" t="s">
        <v>7</v>
      </c>
      <c r="F176" s="26" t="s">
        <v>13</v>
      </c>
      <c r="G176" s="26" t="s">
        <v>16</v>
      </c>
      <c r="H176" s="26" t="s">
        <v>23</v>
      </c>
      <c r="I176" s="26" t="s">
        <v>24</v>
      </c>
      <c r="J176" s="26" t="s">
        <v>25</v>
      </c>
      <c r="K176" s="26" t="s">
        <v>26</v>
      </c>
      <c r="L176" s="26" t="s">
        <v>27</v>
      </c>
      <c r="M176" s="26" t="s">
        <v>28</v>
      </c>
      <c r="N176" s="26" t="s">
        <v>187</v>
      </c>
    </row>
    <row r="177" spans="1:14">
      <c r="A177" s="27" t="s">
        <v>1321</v>
      </c>
      <c r="B177" s="27">
        <f>B172</f>
        <v>1</v>
      </c>
      <c r="C177" s="27" t="str">
        <f>B174</f>
        <v>unit</v>
      </c>
      <c r="D177" s="27" t="s">
        <v>2</v>
      </c>
      <c r="E177" s="27" t="s">
        <v>29</v>
      </c>
      <c r="F177" s="27" t="str">
        <f>B171</f>
        <v>EUR</v>
      </c>
      <c r="G177" s="27" t="s">
        <v>30</v>
      </c>
      <c r="H177" s="27">
        <v>0</v>
      </c>
      <c r="I177" s="27">
        <f>B177</f>
        <v>1</v>
      </c>
      <c r="J177" s="27" t="s">
        <v>31</v>
      </c>
      <c r="K177" s="27" t="s">
        <v>31</v>
      </c>
      <c r="L177" s="27" t="s">
        <v>31</v>
      </c>
      <c r="M177" s="27" t="s">
        <v>31</v>
      </c>
      <c r="N177" s="27"/>
    </row>
    <row r="178" spans="1:14">
      <c r="A178" s="27" t="s">
        <v>1326</v>
      </c>
      <c r="B178" s="27">
        <v>1234.8000000000002</v>
      </c>
      <c r="C178" s="27" t="s">
        <v>37</v>
      </c>
      <c r="D178" s="27" t="s">
        <v>40</v>
      </c>
      <c r="E178" s="27" t="s">
        <v>29</v>
      </c>
      <c r="F178" s="27" t="s">
        <v>59</v>
      </c>
      <c r="G178" s="27" t="s">
        <v>33</v>
      </c>
      <c r="H178" s="27">
        <v>2</v>
      </c>
      <c r="I178" s="27">
        <f t="shared" ref="I178:I194" si="7">LN(B178)</f>
        <v>7.1186642926280044</v>
      </c>
      <c r="J178" s="27">
        <v>1</v>
      </c>
      <c r="K178" s="27" t="s">
        <v>31</v>
      </c>
      <c r="L178" s="27" t="s">
        <v>31</v>
      </c>
      <c r="M178" s="27" t="s">
        <v>31</v>
      </c>
      <c r="N178" s="27"/>
    </row>
    <row r="179" spans="1:14">
      <c r="A179" s="37" t="s">
        <v>388</v>
      </c>
      <c r="B179" s="27">
        <v>1234.8000000000002</v>
      </c>
      <c r="C179" s="27" t="s">
        <v>37</v>
      </c>
      <c r="D179" s="27" t="s">
        <v>40</v>
      </c>
      <c r="E179" s="27" t="s">
        <v>29</v>
      </c>
      <c r="F179" s="27" t="s">
        <v>59</v>
      </c>
      <c r="G179" s="27" t="s">
        <v>33</v>
      </c>
      <c r="H179" s="27">
        <v>2</v>
      </c>
      <c r="I179" s="27">
        <f t="shared" si="7"/>
        <v>7.1186642926280044</v>
      </c>
      <c r="J179" s="27">
        <v>1</v>
      </c>
      <c r="K179" s="27" t="s">
        <v>31</v>
      </c>
      <c r="L179" s="27" t="s">
        <v>31</v>
      </c>
      <c r="M179" s="27" t="s">
        <v>31</v>
      </c>
      <c r="N179" s="27"/>
    </row>
    <row r="180" spans="1:14">
      <c r="A180" s="37" t="s">
        <v>687</v>
      </c>
      <c r="B180" s="27">
        <v>388.80000000000007</v>
      </c>
      <c r="C180" s="27" t="s">
        <v>37</v>
      </c>
      <c r="D180" s="27" t="s">
        <v>40</v>
      </c>
      <c r="E180" s="27" t="s">
        <v>29</v>
      </c>
      <c r="F180" s="27" t="s">
        <v>59</v>
      </c>
      <c r="G180" s="27" t="s">
        <v>33</v>
      </c>
      <c r="H180" s="27">
        <v>2</v>
      </c>
      <c r="I180" s="27">
        <f t="shared" si="7"/>
        <v>5.9630650725862839</v>
      </c>
      <c r="J180" s="27">
        <v>1</v>
      </c>
      <c r="K180" s="27" t="s">
        <v>31</v>
      </c>
      <c r="L180" s="27" t="s">
        <v>31</v>
      </c>
      <c r="M180" s="27" t="s">
        <v>31</v>
      </c>
      <c r="N180" s="27"/>
    </row>
    <row r="181" spans="1:14">
      <c r="A181" s="37" t="s">
        <v>388</v>
      </c>
      <c r="B181" s="27">
        <v>388.80000000000007</v>
      </c>
      <c r="C181" s="27" t="s">
        <v>37</v>
      </c>
      <c r="D181" s="27" t="s">
        <v>40</v>
      </c>
      <c r="E181" s="27" t="s">
        <v>29</v>
      </c>
      <c r="F181" s="27" t="s">
        <v>59</v>
      </c>
      <c r="G181" s="27" t="s">
        <v>33</v>
      </c>
      <c r="H181" s="27">
        <v>2</v>
      </c>
      <c r="I181" s="27">
        <f t="shared" si="7"/>
        <v>5.9630650725862839</v>
      </c>
      <c r="J181" s="27">
        <v>1</v>
      </c>
      <c r="K181" s="27" t="s">
        <v>31</v>
      </c>
      <c r="L181" s="27" t="s">
        <v>31</v>
      </c>
      <c r="M181" s="27" t="s">
        <v>31</v>
      </c>
      <c r="N181" s="27"/>
    </row>
    <row r="182" spans="1:14">
      <c r="A182" s="37" t="s">
        <v>687</v>
      </c>
      <c r="B182" s="27">
        <v>78645.600000000006</v>
      </c>
      <c r="C182" s="27" t="s">
        <v>37</v>
      </c>
      <c r="D182" s="27" t="s">
        <v>40</v>
      </c>
      <c r="E182" s="27" t="s">
        <v>29</v>
      </c>
      <c r="F182" s="27" t="s">
        <v>59</v>
      </c>
      <c r="G182" s="27" t="s">
        <v>33</v>
      </c>
      <c r="H182" s="27">
        <v>2</v>
      </c>
      <c r="I182" s="27">
        <f t="shared" si="7"/>
        <v>11.272706962865552</v>
      </c>
      <c r="J182" s="27">
        <v>1</v>
      </c>
      <c r="K182" s="27" t="s">
        <v>31</v>
      </c>
      <c r="L182" s="27" t="s">
        <v>31</v>
      </c>
      <c r="M182" s="27" t="s">
        <v>31</v>
      </c>
      <c r="N182" s="27"/>
    </row>
    <row r="183" spans="1:14">
      <c r="A183" s="27" t="s">
        <v>85</v>
      </c>
      <c r="B183" s="27">
        <v>4770.0000000000009</v>
      </c>
      <c r="C183" s="27" t="s">
        <v>37</v>
      </c>
      <c r="D183" s="27" t="s">
        <v>40</v>
      </c>
      <c r="E183" s="27" t="s">
        <v>29</v>
      </c>
      <c r="F183" s="27" t="s">
        <v>59</v>
      </c>
      <c r="G183" s="27" t="s">
        <v>33</v>
      </c>
      <c r="H183" s="27">
        <v>2</v>
      </c>
      <c r="I183" s="27">
        <f t="shared" si="7"/>
        <v>8.4701015838823874</v>
      </c>
      <c r="J183" s="27">
        <v>1</v>
      </c>
      <c r="K183" s="27" t="s">
        <v>31</v>
      </c>
      <c r="L183" s="27" t="s">
        <v>31</v>
      </c>
      <c r="M183" s="27" t="s">
        <v>31</v>
      </c>
      <c r="N183" s="27"/>
    </row>
    <row r="184" spans="1:14">
      <c r="A184" s="27" t="s">
        <v>120</v>
      </c>
      <c r="B184" s="27">
        <v>248.40000000000003</v>
      </c>
      <c r="C184" s="27" t="s">
        <v>37</v>
      </c>
      <c r="D184" s="27" t="s">
        <v>40</v>
      </c>
      <c r="E184" s="27" t="s">
        <v>29</v>
      </c>
      <c r="F184" s="27" t="s">
        <v>59</v>
      </c>
      <c r="G184" s="27" t="s">
        <v>33</v>
      </c>
      <c r="H184" s="27">
        <v>2</v>
      </c>
      <c r="I184" s="27">
        <f t="shared" si="7"/>
        <v>5.5150403500593237</v>
      </c>
      <c r="J184" s="27">
        <v>1</v>
      </c>
      <c r="K184" s="27" t="s">
        <v>31</v>
      </c>
      <c r="L184" s="27" t="s">
        <v>31</v>
      </c>
      <c r="M184" s="27" t="s">
        <v>31</v>
      </c>
      <c r="N184" s="27"/>
    </row>
    <row r="185" spans="1:14">
      <c r="A185" s="37" t="s">
        <v>1327</v>
      </c>
      <c r="B185" s="27">
        <v>129.60000000000002</v>
      </c>
      <c r="C185" s="27" t="s">
        <v>37</v>
      </c>
      <c r="D185" s="27" t="s">
        <v>40</v>
      </c>
      <c r="E185" s="27" t="s">
        <v>29</v>
      </c>
      <c r="F185" s="27" t="s">
        <v>59</v>
      </c>
      <c r="G185" s="27" t="s">
        <v>33</v>
      </c>
      <c r="H185" s="27">
        <v>2</v>
      </c>
      <c r="I185" s="27">
        <f t="shared" si="7"/>
        <v>4.8644527839181748</v>
      </c>
      <c r="J185" s="27">
        <v>1</v>
      </c>
      <c r="K185" s="27" t="s">
        <v>31</v>
      </c>
      <c r="L185" s="27" t="s">
        <v>31</v>
      </c>
      <c r="M185" s="27" t="s">
        <v>31</v>
      </c>
      <c r="N185" s="27"/>
    </row>
    <row r="186" spans="1:14">
      <c r="A186" s="27" t="s">
        <v>1345</v>
      </c>
      <c r="B186" s="27">
        <v>7.2</v>
      </c>
      <c r="C186" s="27" t="s">
        <v>37</v>
      </c>
      <c r="D186" s="27" t="s">
        <v>40</v>
      </c>
      <c r="E186" s="27" t="s">
        <v>29</v>
      </c>
      <c r="F186" s="27" t="s">
        <v>1346</v>
      </c>
      <c r="G186" s="27" t="s">
        <v>33</v>
      </c>
      <c r="H186" s="27">
        <v>2</v>
      </c>
      <c r="I186" s="27">
        <f t="shared" si="7"/>
        <v>1.9740810260220096</v>
      </c>
      <c r="J186" s="27">
        <v>1</v>
      </c>
      <c r="K186" s="27" t="s">
        <v>31</v>
      </c>
      <c r="L186" s="27" t="s">
        <v>31</v>
      </c>
      <c r="M186" s="27" t="s">
        <v>31</v>
      </c>
      <c r="N186" s="27"/>
    </row>
    <row r="187" spans="1:14">
      <c r="A187" s="27" t="s">
        <v>1331</v>
      </c>
      <c r="B187" s="27">
        <v>144.00000000000003</v>
      </c>
      <c r="C187" s="27" t="s">
        <v>37</v>
      </c>
      <c r="D187" s="27" t="s">
        <v>40</v>
      </c>
      <c r="E187" s="27" t="s">
        <v>29</v>
      </c>
      <c r="F187" s="27" t="s">
        <v>59</v>
      </c>
      <c r="G187" s="27" t="s">
        <v>33</v>
      </c>
      <c r="H187" s="27">
        <v>2</v>
      </c>
      <c r="I187" s="27">
        <f t="shared" si="7"/>
        <v>4.9698132995760007</v>
      </c>
      <c r="J187" s="27">
        <v>1</v>
      </c>
      <c r="K187" s="27" t="s">
        <v>31</v>
      </c>
      <c r="L187" s="27" t="s">
        <v>31</v>
      </c>
      <c r="M187" s="27" t="s">
        <v>31</v>
      </c>
      <c r="N187" s="27"/>
    </row>
    <row r="188" spans="1:14">
      <c r="A188" s="37" t="s">
        <v>344</v>
      </c>
      <c r="B188" s="27">
        <v>36.000000000000007</v>
      </c>
      <c r="C188" s="27" t="s">
        <v>37</v>
      </c>
      <c r="D188" s="27" t="s">
        <v>40</v>
      </c>
      <c r="E188" s="27" t="s">
        <v>29</v>
      </c>
      <c r="F188" s="27" t="s">
        <v>59</v>
      </c>
      <c r="G188" s="27" t="s">
        <v>33</v>
      </c>
      <c r="H188" s="27">
        <v>2</v>
      </c>
      <c r="I188" s="27">
        <f t="shared" si="7"/>
        <v>3.5835189384561104</v>
      </c>
      <c r="J188" s="27">
        <v>1</v>
      </c>
      <c r="K188" s="27" t="s">
        <v>31</v>
      </c>
      <c r="L188" s="27" t="s">
        <v>31</v>
      </c>
      <c r="M188" s="27" t="s">
        <v>31</v>
      </c>
      <c r="N188" s="27"/>
    </row>
    <row r="189" spans="1:14">
      <c r="A189" s="27" t="s">
        <v>1312</v>
      </c>
      <c r="B189" s="27">
        <v>864.00000000000011</v>
      </c>
      <c r="C189" s="27" t="s">
        <v>37</v>
      </c>
      <c r="D189" s="27" t="s">
        <v>40</v>
      </c>
      <c r="E189" s="27" t="s">
        <v>29</v>
      </c>
      <c r="F189" s="27" t="s">
        <v>59</v>
      </c>
      <c r="G189" s="27" t="s">
        <v>33</v>
      </c>
      <c r="H189" s="27">
        <v>2</v>
      </c>
      <c r="I189" s="27">
        <f t="shared" si="7"/>
        <v>6.7615727688040561</v>
      </c>
      <c r="J189" s="27">
        <v>1</v>
      </c>
      <c r="K189" s="27" t="s">
        <v>31</v>
      </c>
      <c r="L189" s="27" t="s">
        <v>31</v>
      </c>
      <c r="M189" s="27" t="s">
        <v>31</v>
      </c>
      <c r="N189" s="27"/>
    </row>
    <row r="190" spans="1:14">
      <c r="A190" s="27" t="s">
        <v>614</v>
      </c>
      <c r="B190" s="27">
        <v>11286.000000000002</v>
      </c>
      <c r="C190" s="27" t="s">
        <v>37</v>
      </c>
      <c r="D190" s="27" t="s">
        <v>40</v>
      </c>
      <c r="E190" s="27" t="s">
        <v>29</v>
      </c>
      <c r="F190" s="27" t="s">
        <v>59</v>
      </c>
      <c r="G190" s="27" t="s">
        <v>33</v>
      </c>
      <c r="H190" s="27">
        <v>2</v>
      </c>
      <c r="I190" s="27">
        <f t="shared" si="7"/>
        <v>9.3313182985290855</v>
      </c>
      <c r="J190" s="27">
        <v>1</v>
      </c>
      <c r="K190" s="27" t="s">
        <v>31</v>
      </c>
      <c r="L190" s="27" t="s">
        <v>31</v>
      </c>
      <c r="M190" s="27" t="s">
        <v>31</v>
      </c>
      <c r="N190" s="27"/>
    </row>
    <row r="191" spans="1:14">
      <c r="A191" s="27" t="s">
        <v>1347</v>
      </c>
      <c r="B191" s="27">
        <v>11286.000000000002</v>
      </c>
      <c r="C191" s="27" t="s">
        <v>37</v>
      </c>
      <c r="D191" s="27" t="s">
        <v>40</v>
      </c>
      <c r="E191" s="27" t="s">
        <v>29</v>
      </c>
      <c r="F191" s="27" t="s">
        <v>59</v>
      </c>
      <c r="G191" s="27" t="s">
        <v>33</v>
      </c>
      <c r="H191" s="27">
        <v>2</v>
      </c>
      <c r="I191" s="27">
        <f t="shared" si="7"/>
        <v>9.3313182985290855</v>
      </c>
      <c r="J191" s="27">
        <v>1</v>
      </c>
      <c r="K191" s="27" t="s">
        <v>31</v>
      </c>
      <c r="L191" s="27" t="s">
        <v>31</v>
      </c>
      <c r="M191" s="27" t="s">
        <v>31</v>
      </c>
      <c r="N191" s="27" t="s">
        <v>1348</v>
      </c>
    </row>
    <row r="192" spans="1:14">
      <c r="A192" s="27" t="s">
        <v>1340</v>
      </c>
      <c r="B192" s="27">
        <v>11088.000000000002</v>
      </c>
      <c r="C192" s="27" t="s">
        <v>37</v>
      </c>
      <c r="D192" s="27" t="s">
        <v>40</v>
      </c>
      <c r="E192" s="27" t="s">
        <v>29</v>
      </c>
      <c r="F192" s="27" t="s">
        <v>59</v>
      </c>
      <c r="G192" s="27" t="s">
        <v>33</v>
      </c>
      <c r="H192" s="27">
        <v>2</v>
      </c>
      <c r="I192" s="27">
        <f t="shared" si="7"/>
        <v>9.3136187214296839</v>
      </c>
      <c r="J192" s="27">
        <v>1</v>
      </c>
      <c r="K192" s="27" t="s">
        <v>31</v>
      </c>
      <c r="L192" s="27" t="s">
        <v>31</v>
      </c>
      <c r="M192" s="27" t="s">
        <v>31</v>
      </c>
      <c r="N192" s="27"/>
    </row>
    <row r="193" spans="1:14">
      <c r="A193" s="37" t="s">
        <v>121</v>
      </c>
      <c r="B193" s="27">
        <v>410.4</v>
      </c>
      <c r="C193" s="27" t="s">
        <v>37</v>
      </c>
      <c r="D193" s="27" t="s">
        <v>40</v>
      </c>
      <c r="E193" s="27" t="s">
        <v>29</v>
      </c>
      <c r="F193" s="27" t="s">
        <v>59</v>
      </c>
      <c r="G193" s="27" t="s">
        <v>33</v>
      </c>
      <c r="H193" s="27">
        <v>2</v>
      </c>
      <c r="I193" s="27">
        <f t="shared" si="7"/>
        <v>6.0171322938565597</v>
      </c>
      <c r="J193" s="27">
        <v>1</v>
      </c>
      <c r="K193" s="27" t="s">
        <v>31</v>
      </c>
      <c r="L193" s="27" t="s">
        <v>31</v>
      </c>
      <c r="M193" s="27" t="s">
        <v>31</v>
      </c>
      <c r="N193" s="27"/>
    </row>
    <row r="194" spans="1:14">
      <c r="A194" s="37" t="s">
        <v>145</v>
      </c>
      <c r="B194" s="42">
        <v>7.2</v>
      </c>
      <c r="C194" s="27" t="s">
        <v>37</v>
      </c>
      <c r="D194" s="27" t="s">
        <v>40</v>
      </c>
      <c r="E194" s="27" t="s">
        <v>29</v>
      </c>
      <c r="F194" s="27" t="s">
        <v>59</v>
      </c>
      <c r="G194" s="27" t="s">
        <v>33</v>
      </c>
      <c r="H194" s="27">
        <v>2</v>
      </c>
      <c r="I194" s="27">
        <f t="shared" si="7"/>
        <v>1.9740810260220096</v>
      </c>
      <c r="J194" s="27">
        <v>1</v>
      </c>
      <c r="K194" s="27" t="s">
        <v>31</v>
      </c>
      <c r="L194" s="27" t="s">
        <v>31</v>
      </c>
      <c r="M194" s="27" t="s">
        <v>31</v>
      </c>
      <c r="N194" s="37" t="s">
        <v>1349</v>
      </c>
    </row>
    <row r="195" spans="1:14" ht="15.6">
      <c r="A195" s="28" t="s">
        <v>5</v>
      </c>
      <c r="B195" s="28" t="s">
        <v>1322</v>
      </c>
      <c r="C195" s="29"/>
      <c r="D195" s="30"/>
      <c r="E195" s="30"/>
      <c r="F195" s="30"/>
      <c r="G195" s="30"/>
      <c r="H195" s="30"/>
      <c r="I195" s="30"/>
      <c r="J195" s="30"/>
      <c r="K195" s="30"/>
      <c r="L195" s="30"/>
      <c r="M195" s="30"/>
      <c r="N195" s="30"/>
    </row>
    <row r="196" spans="1:14">
      <c r="A196" s="27" t="s">
        <v>7</v>
      </c>
      <c r="B196" s="27" t="s">
        <v>184</v>
      </c>
      <c r="C196" s="27"/>
      <c r="D196" s="27"/>
      <c r="E196" s="27"/>
      <c r="F196" s="27"/>
      <c r="G196" s="27"/>
      <c r="H196" s="27"/>
      <c r="I196" s="27"/>
      <c r="J196" s="27"/>
      <c r="K196" s="27"/>
      <c r="L196" s="27"/>
      <c r="M196" s="27"/>
      <c r="N196" s="27"/>
    </row>
    <row r="197" spans="1:14">
      <c r="A197" s="27" t="s">
        <v>9</v>
      </c>
      <c r="B197" s="27" t="s">
        <v>1350</v>
      </c>
      <c r="C197" s="27"/>
      <c r="D197" s="27"/>
      <c r="E197" s="27"/>
      <c r="F197" s="27"/>
      <c r="G197" s="27"/>
      <c r="H197" s="27"/>
      <c r="I197" s="27"/>
      <c r="J197" s="27"/>
      <c r="K197" s="27"/>
      <c r="L197" s="27"/>
      <c r="M197" s="27"/>
      <c r="N197" s="27"/>
    </row>
    <row r="198" spans="1:14" ht="39">
      <c r="A198" s="27" t="s">
        <v>11</v>
      </c>
      <c r="B198" s="217" t="s">
        <v>1351</v>
      </c>
      <c r="C198" s="27"/>
      <c r="D198" s="27"/>
      <c r="E198" s="27"/>
      <c r="F198" s="27"/>
      <c r="G198" s="27"/>
      <c r="H198" s="27"/>
      <c r="I198" s="27"/>
      <c r="J198" s="27"/>
      <c r="K198" s="27"/>
      <c r="L198" s="27"/>
      <c r="M198" s="27"/>
      <c r="N198" s="27"/>
    </row>
    <row r="199" spans="1:14">
      <c r="A199" s="27" t="s">
        <v>13</v>
      </c>
      <c r="B199" s="27" t="s">
        <v>14</v>
      </c>
      <c r="C199" s="27"/>
      <c r="D199" s="27"/>
      <c r="E199" s="27"/>
      <c r="F199" s="27"/>
      <c r="G199" s="27"/>
      <c r="H199" s="27"/>
      <c r="I199" s="27"/>
      <c r="J199" s="27"/>
      <c r="K199" s="27"/>
      <c r="L199" s="27"/>
      <c r="M199" s="27"/>
      <c r="N199" s="27"/>
    </row>
    <row r="200" spans="1:14">
      <c r="A200" s="27" t="s">
        <v>15</v>
      </c>
      <c r="B200" s="37">
        <v>1</v>
      </c>
      <c r="C200" s="27"/>
      <c r="D200" s="27"/>
      <c r="E200" s="27"/>
      <c r="F200" s="27"/>
      <c r="G200" s="27"/>
      <c r="H200" s="27"/>
      <c r="I200" s="27"/>
      <c r="J200" s="27"/>
      <c r="K200" s="27"/>
      <c r="L200" s="27"/>
      <c r="M200" s="27"/>
      <c r="N200" s="27"/>
    </row>
    <row r="201" spans="1:14">
      <c r="A201" s="27" t="s">
        <v>16</v>
      </c>
      <c r="B201" s="27" t="s">
        <v>17</v>
      </c>
      <c r="C201" s="27"/>
      <c r="D201" s="27"/>
      <c r="E201" s="27"/>
      <c r="F201" s="27"/>
      <c r="G201" s="27"/>
      <c r="H201" s="27"/>
      <c r="I201" s="27"/>
      <c r="J201" s="27"/>
      <c r="K201" s="27"/>
      <c r="L201" s="27"/>
      <c r="M201" s="27"/>
      <c r="N201" s="27"/>
    </row>
    <row r="202" spans="1:14">
      <c r="A202" s="27" t="s">
        <v>18</v>
      </c>
      <c r="B202" s="27" t="s">
        <v>18</v>
      </c>
      <c r="C202" s="27"/>
      <c r="D202" s="27"/>
      <c r="E202" s="27"/>
      <c r="F202" s="27"/>
      <c r="G202" s="27"/>
      <c r="H202" s="27"/>
      <c r="I202" s="27"/>
      <c r="J202" s="27"/>
      <c r="K202" s="27"/>
      <c r="L202" s="27"/>
      <c r="M202" s="27"/>
      <c r="N202" s="27"/>
    </row>
    <row r="203" spans="1:14" ht="15.6">
      <c r="A203" s="26" t="s">
        <v>19</v>
      </c>
    </row>
    <row r="204" spans="1:14" ht="15.6">
      <c r="A204" s="26" t="s">
        <v>20</v>
      </c>
      <c r="B204" s="26" t="s">
        <v>21</v>
      </c>
      <c r="C204" s="26" t="s">
        <v>18</v>
      </c>
      <c r="D204" s="26" t="s">
        <v>22</v>
      </c>
      <c r="E204" s="26" t="s">
        <v>7</v>
      </c>
      <c r="F204" s="26" t="s">
        <v>13</v>
      </c>
      <c r="G204" s="26" t="s">
        <v>16</v>
      </c>
      <c r="H204" s="26" t="s">
        <v>23</v>
      </c>
      <c r="I204" s="26" t="s">
        <v>24</v>
      </c>
      <c r="J204" s="26" t="s">
        <v>25</v>
      </c>
      <c r="K204" s="26" t="s">
        <v>26</v>
      </c>
      <c r="L204" s="26" t="s">
        <v>27</v>
      </c>
      <c r="M204" s="26" t="s">
        <v>28</v>
      </c>
      <c r="N204" s="26" t="s">
        <v>187</v>
      </c>
    </row>
    <row r="205" spans="1:14">
      <c r="A205" s="27" t="s">
        <v>1322</v>
      </c>
      <c r="B205" s="27">
        <f>B200</f>
        <v>1</v>
      </c>
      <c r="C205" s="27" t="str">
        <f>B202</f>
        <v>unit</v>
      </c>
      <c r="D205" s="27" t="s">
        <v>2</v>
      </c>
      <c r="E205" s="27" t="s">
        <v>29</v>
      </c>
      <c r="F205" s="27" t="str">
        <f>B199</f>
        <v>EUR</v>
      </c>
      <c r="G205" s="27" t="s">
        <v>30</v>
      </c>
      <c r="H205" s="27">
        <v>0</v>
      </c>
      <c r="I205" s="27">
        <f>B205</f>
        <v>1</v>
      </c>
      <c r="J205" s="27" t="s">
        <v>31</v>
      </c>
      <c r="K205" s="27" t="s">
        <v>31</v>
      </c>
      <c r="L205" s="27" t="s">
        <v>31</v>
      </c>
      <c r="M205" s="27" t="s">
        <v>31</v>
      </c>
      <c r="N205" s="27"/>
    </row>
    <row r="206" spans="1:14" s="27" customFormat="1" ht="12.95">
      <c r="A206" s="37" t="s">
        <v>1326</v>
      </c>
      <c r="B206" s="27">
        <v>24480</v>
      </c>
      <c r="C206" s="27" t="s">
        <v>37</v>
      </c>
      <c r="D206" s="27" t="s">
        <v>40</v>
      </c>
      <c r="E206" s="27" t="s">
        <v>29</v>
      </c>
      <c r="F206" s="27" t="s">
        <v>59</v>
      </c>
      <c r="G206" s="27" t="s">
        <v>33</v>
      </c>
      <c r="H206" s="27">
        <v>2</v>
      </c>
      <c r="I206" s="27">
        <f t="shared" ref="I206:I217" si="8">LN(B206)</f>
        <v>10.105611736626262</v>
      </c>
      <c r="J206" s="27">
        <v>1</v>
      </c>
      <c r="K206" s="27" t="s">
        <v>31</v>
      </c>
      <c r="L206" s="27" t="s">
        <v>31</v>
      </c>
      <c r="M206" s="27" t="s">
        <v>31</v>
      </c>
    </row>
    <row r="207" spans="1:14" s="27" customFormat="1" ht="12.95">
      <c r="A207" s="27" t="s">
        <v>687</v>
      </c>
      <c r="B207" s="27">
        <v>543.6</v>
      </c>
      <c r="C207" s="27" t="s">
        <v>37</v>
      </c>
      <c r="D207" s="27" t="s">
        <v>40</v>
      </c>
      <c r="E207" s="27" t="s">
        <v>29</v>
      </c>
      <c r="F207" s="27" t="s">
        <v>59</v>
      </c>
      <c r="G207" s="27" t="s">
        <v>33</v>
      </c>
      <c r="H207" s="27">
        <v>2</v>
      </c>
      <c r="I207" s="27">
        <f t="shared" si="8"/>
        <v>6.2982136822769883</v>
      </c>
      <c r="J207" s="27">
        <v>1</v>
      </c>
      <c r="K207" s="27" t="s">
        <v>31</v>
      </c>
      <c r="L207" s="27" t="s">
        <v>31</v>
      </c>
      <c r="M207" s="27" t="s">
        <v>31</v>
      </c>
    </row>
    <row r="208" spans="1:14" s="27" customFormat="1" ht="12.95">
      <c r="A208" s="37" t="s">
        <v>388</v>
      </c>
      <c r="B208" s="42">
        <v>543.6</v>
      </c>
      <c r="C208" s="27" t="s">
        <v>37</v>
      </c>
      <c r="D208" s="27" t="s">
        <v>40</v>
      </c>
      <c r="E208" s="27" t="s">
        <v>29</v>
      </c>
      <c r="F208" s="27" t="s">
        <v>59</v>
      </c>
      <c r="G208" s="27" t="s">
        <v>33</v>
      </c>
      <c r="H208" s="27">
        <v>2</v>
      </c>
      <c r="I208" s="27">
        <f t="shared" si="8"/>
        <v>6.2982136822769883</v>
      </c>
      <c r="J208" s="27">
        <v>1</v>
      </c>
      <c r="K208" s="27" t="s">
        <v>31</v>
      </c>
      <c r="L208" s="27" t="s">
        <v>31</v>
      </c>
      <c r="M208" s="27" t="s">
        <v>31</v>
      </c>
    </row>
    <row r="209" spans="1:14" s="27" customFormat="1" ht="12.95">
      <c r="A209" s="37" t="s">
        <v>687</v>
      </c>
      <c r="B209" s="42">
        <v>8085.6000000000013</v>
      </c>
      <c r="C209" s="27" t="s">
        <v>37</v>
      </c>
      <c r="D209" s="27" t="s">
        <v>40</v>
      </c>
      <c r="E209" s="27" t="s">
        <v>29</v>
      </c>
      <c r="F209" s="27" t="s">
        <v>59</v>
      </c>
      <c r="G209" s="27" t="s">
        <v>33</v>
      </c>
      <c r="H209" s="27">
        <v>2</v>
      </c>
      <c r="I209" s="27">
        <f t="shared" si="8"/>
        <v>8.9978399807604532</v>
      </c>
      <c r="J209" s="27">
        <v>1</v>
      </c>
      <c r="K209" s="27" t="s">
        <v>31</v>
      </c>
      <c r="L209" s="27" t="s">
        <v>31</v>
      </c>
      <c r="M209" s="27" t="s">
        <v>31</v>
      </c>
    </row>
    <row r="210" spans="1:14" s="27" customFormat="1" ht="12.95">
      <c r="A210" s="27" t="s">
        <v>85</v>
      </c>
      <c r="B210" s="42">
        <v>21.599999999999998</v>
      </c>
      <c r="C210" s="27" t="s">
        <v>37</v>
      </c>
      <c r="D210" s="27" t="s">
        <v>40</v>
      </c>
      <c r="E210" s="27" t="s">
        <v>29</v>
      </c>
      <c r="F210" s="27" t="s">
        <v>59</v>
      </c>
      <c r="G210" s="27" t="s">
        <v>33</v>
      </c>
      <c r="H210" s="27">
        <v>2</v>
      </c>
      <c r="I210" s="27">
        <f t="shared" si="8"/>
        <v>3.0726933146901194</v>
      </c>
      <c r="J210" s="27">
        <v>1</v>
      </c>
      <c r="K210" s="27" t="s">
        <v>31</v>
      </c>
      <c r="L210" s="27" t="s">
        <v>31</v>
      </c>
      <c r="M210" s="27" t="s">
        <v>31</v>
      </c>
    </row>
    <row r="211" spans="1:14" s="27" customFormat="1" ht="12.95">
      <c r="A211" s="27" t="s">
        <v>120</v>
      </c>
      <c r="B211" s="42">
        <v>3.6</v>
      </c>
      <c r="C211" s="27" t="s">
        <v>37</v>
      </c>
      <c r="D211" s="27" t="s">
        <v>40</v>
      </c>
      <c r="E211" s="27" t="s">
        <v>29</v>
      </c>
      <c r="F211" s="27" t="s">
        <v>59</v>
      </c>
      <c r="G211" s="27" t="s">
        <v>33</v>
      </c>
      <c r="H211" s="27">
        <v>2</v>
      </c>
      <c r="I211" s="27">
        <f t="shared" si="8"/>
        <v>1.2809338454620642</v>
      </c>
      <c r="J211" s="27">
        <v>1</v>
      </c>
      <c r="K211" s="27" t="s">
        <v>31</v>
      </c>
      <c r="L211" s="27" t="s">
        <v>31</v>
      </c>
      <c r="M211" s="27" t="s">
        <v>31</v>
      </c>
    </row>
    <row r="212" spans="1:14" s="27" customFormat="1" ht="12.95">
      <c r="A212" s="37" t="s">
        <v>1327</v>
      </c>
      <c r="B212" s="42">
        <v>36.000000000000007</v>
      </c>
      <c r="C212" s="27" t="s">
        <v>37</v>
      </c>
      <c r="D212" s="27" t="s">
        <v>40</v>
      </c>
      <c r="E212" s="27" t="s">
        <v>29</v>
      </c>
      <c r="F212" s="27" t="s">
        <v>59</v>
      </c>
      <c r="G212" s="27" t="s">
        <v>33</v>
      </c>
      <c r="H212" s="27">
        <v>2</v>
      </c>
      <c r="I212" s="27">
        <f t="shared" si="8"/>
        <v>3.5835189384561104</v>
      </c>
      <c r="J212" s="27">
        <v>1</v>
      </c>
      <c r="K212" s="27" t="s">
        <v>31</v>
      </c>
      <c r="L212" s="27" t="s">
        <v>31</v>
      </c>
      <c r="M212" s="27" t="s">
        <v>31</v>
      </c>
    </row>
    <row r="213" spans="1:14" s="27" customFormat="1" ht="12.95">
      <c r="A213" s="27" t="s">
        <v>1331</v>
      </c>
      <c r="B213" s="42">
        <v>3.6</v>
      </c>
      <c r="C213" s="27" t="s">
        <v>37</v>
      </c>
      <c r="D213" s="27" t="s">
        <v>40</v>
      </c>
      <c r="E213" s="27" t="s">
        <v>29</v>
      </c>
      <c r="F213" s="27" t="s">
        <v>59</v>
      </c>
      <c r="G213" s="27" t="s">
        <v>33</v>
      </c>
      <c r="H213" s="27">
        <v>2</v>
      </c>
      <c r="I213" s="27">
        <f t="shared" si="8"/>
        <v>1.2809338454620642</v>
      </c>
      <c r="J213" s="27">
        <v>1</v>
      </c>
      <c r="K213" s="27" t="s">
        <v>31</v>
      </c>
      <c r="L213" s="27" t="s">
        <v>31</v>
      </c>
      <c r="M213" s="27" t="s">
        <v>31</v>
      </c>
    </row>
    <row r="214" spans="1:14" s="27" customFormat="1" ht="12.95">
      <c r="A214" s="27" t="s">
        <v>1312</v>
      </c>
      <c r="B214" s="42">
        <v>784.80000000000018</v>
      </c>
      <c r="C214" s="27" t="s">
        <v>37</v>
      </c>
      <c r="D214" s="27" t="s">
        <v>40</v>
      </c>
      <c r="E214" s="27" t="s">
        <v>29</v>
      </c>
      <c r="F214" s="27" t="s">
        <v>59</v>
      </c>
      <c r="G214" s="27" t="s">
        <v>33</v>
      </c>
      <c r="H214" s="27">
        <v>2</v>
      </c>
      <c r="I214" s="27">
        <f t="shared" si="8"/>
        <v>6.6654289082511538</v>
      </c>
      <c r="J214" s="27">
        <v>1</v>
      </c>
      <c r="K214" s="27" t="s">
        <v>31</v>
      </c>
      <c r="L214" s="27" t="s">
        <v>31</v>
      </c>
      <c r="M214" s="27" t="s">
        <v>31</v>
      </c>
    </row>
    <row r="215" spans="1:14" s="27" customFormat="1" ht="12.95">
      <c r="A215" s="27" t="s">
        <v>614</v>
      </c>
      <c r="B215" s="42">
        <v>784.80000000000018</v>
      </c>
      <c r="C215" s="27" t="s">
        <v>37</v>
      </c>
      <c r="D215" s="27" t="s">
        <v>40</v>
      </c>
      <c r="E215" s="27" t="s">
        <v>29</v>
      </c>
      <c r="F215" s="27" t="s">
        <v>59</v>
      </c>
      <c r="G215" s="27" t="s">
        <v>33</v>
      </c>
      <c r="H215" s="27">
        <v>2</v>
      </c>
      <c r="I215" s="27">
        <f t="shared" si="8"/>
        <v>6.6654289082511538</v>
      </c>
      <c r="J215" s="27">
        <v>1</v>
      </c>
      <c r="K215" s="27" t="s">
        <v>31</v>
      </c>
      <c r="L215" s="27" t="s">
        <v>31</v>
      </c>
      <c r="M215" s="27" t="s">
        <v>31</v>
      </c>
    </row>
    <row r="216" spans="1:14" s="27" customFormat="1" ht="12.95">
      <c r="A216" s="27" t="s">
        <v>1352</v>
      </c>
      <c r="B216" s="27">
        <v>18.000000000000004</v>
      </c>
      <c r="C216" s="27" t="s">
        <v>37</v>
      </c>
      <c r="D216" s="27" t="s">
        <v>40</v>
      </c>
      <c r="E216" s="27" t="s">
        <v>29</v>
      </c>
      <c r="F216" s="27" t="s">
        <v>59</v>
      </c>
      <c r="G216" s="27" t="s">
        <v>33</v>
      </c>
      <c r="H216" s="27">
        <v>2</v>
      </c>
      <c r="I216" s="27">
        <f t="shared" si="8"/>
        <v>2.890371757896165</v>
      </c>
      <c r="J216" s="27">
        <v>1</v>
      </c>
      <c r="K216" s="27" t="s">
        <v>31</v>
      </c>
      <c r="L216" s="27" t="s">
        <v>31</v>
      </c>
      <c r="M216" s="27" t="s">
        <v>31</v>
      </c>
    </row>
    <row r="217" spans="1:14" s="27" customFormat="1" ht="12.95">
      <c r="A217" s="27" t="s">
        <v>627</v>
      </c>
      <c r="B217" s="27">
        <v>403.20000000000005</v>
      </c>
      <c r="C217" s="27" t="s">
        <v>37</v>
      </c>
      <c r="D217" s="27" t="s">
        <v>40</v>
      </c>
      <c r="E217" s="27" t="s">
        <v>29</v>
      </c>
      <c r="F217" s="27" t="s">
        <v>35</v>
      </c>
      <c r="G217" s="27" t="s">
        <v>33</v>
      </c>
      <c r="H217" s="27">
        <v>2</v>
      </c>
      <c r="I217" s="27">
        <f t="shared" si="8"/>
        <v>5.9994327167571591</v>
      </c>
      <c r="J217" s="27">
        <v>1</v>
      </c>
      <c r="K217" s="27" t="s">
        <v>31</v>
      </c>
      <c r="L217" s="27" t="s">
        <v>31</v>
      </c>
      <c r="M217" s="27" t="s">
        <v>31</v>
      </c>
    </row>
    <row r="218" spans="1:14" s="27" customFormat="1" ht="15.6">
      <c r="A218" s="28" t="s">
        <v>5</v>
      </c>
      <c r="B218" s="28" t="s">
        <v>1323</v>
      </c>
      <c r="C218" s="29"/>
      <c r="D218" s="30"/>
      <c r="E218" s="30"/>
      <c r="F218" s="30"/>
      <c r="G218" s="30"/>
      <c r="H218" s="30"/>
      <c r="I218" s="30"/>
      <c r="J218" s="30"/>
      <c r="K218" s="30"/>
      <c r="L218" s="30"/>
      <c r="M218" s="30"/>
      <c r="N218" s="30"/>
    </row>
    <row r="219" spans="1:14" s="27" customFormat="1" ht="12.95">
      <c r="A219" s="27" t="s">
        <v>7</v>
      </c>
      <c r="B219" s="27" t="s">
        <v>184</v>
      </c>
    </row>
    <row r="220" spans="1:14" s="27" customFormat="1" ht="12.95">
      <c r="A220" s="27" t="s">
        <v>9</v>
      </c>
      <c r="B220" s="27" t="s">
        <v>1353</v>
      </c>
    </row>
    <row r="221" spans="1:14" s="27" customFormat="1" ht="39">
      <c r="A221" s="27" t="s">
        <v>11</v>
      </c>
      <c r="B221" s="217" t="s">
        <v>1354</v>
      </c>
    </row>
    <row r="222" spans="1:14" s="27" customFormat="1" ht="12.95">
      <c r="A222" s="27" t="s">
        <v>13</v>
      </c>
      <c r="B222" s="27" t="s">
        <v>14</v>
      </c>
    </row>
    <row r="223" spans="1:14" s="27" customFormat="1" ht="12.95">
      <c r="A223" s="27" t="s">
        <v>15</v>
      </c>
      <c r="B223" s="37">
        <v>1</v>
      </c>
    </row>
    <row r="224" spans="1:14" s="27" customFormat="1" ht="12.95">
      <c r="A224" s="27" t="s">
        <v>16</v>
      </c>
      <c r="B224" s="27" t="s">
        <v>17</v>
      </c>
    </row>
    <row r="225" spans="1:14" s="27" customFormat="1" ht="12.95">
      <c r="A225" s="27" t="s">
        <v>18</v>
      </c>
      <c r="B225" s="27" t="s">
        <v>18</v>
      </c>
    </row>
    <row r="226" spans="1:14" ht="15.6">
      <c r="A226" s="26" t="s">
        <v>19</v>
      </c>
    </row>
    <row r="227" spans="1:14" ht="15.6">
      <c r="A227" s="26" t="s">
        <v>20</v>
      </c>
      <c r="B227" s="26" t="s">
        <v>21</v>
      </c>
      <c r="C227" s="26" t="s">
        <v>18</v>
      </c>
      <c r="D227" s="26" t="s">
        <v>22</v>
      </c>
      <c r="E227" s="26" t="s">
        <v>7</v>
      </c>
      <c r="F227" s="26" t="s">
        <v>13</v>
      </c>
      <c r="G227" s="26" t="s">
        <v>16</v>
      </c>
      <c r="H227" s="26" t="s">
        <v>23</v>
      </c>
      <c r="I227" s="26" t="s">
        <v>24</v>
      </c>
      <c r="J227" s="26" t="s">
        <v>25</v>
      </c>
      <c r="K227" s="26" t="s">
        <v>26</v>
      </c>
      <c r="L227" s="26" t="s">
        <v>27</v>
      </c>
      <c r="M227" s="26" t="s">
        <v>28</v>
      </c>
      <c r="N227" s="26" t="s">
        <v>187</v>
      </c>
    </row>
    <row r="228" spans="1:14">
      <c r="A228" s="27" t="s">
        <v>1323</v>
      </c>
      <c r="B228" s="27">
        <f>B223</f>
        <v>1</v>
      </c>
      <c r="C228" s="27" t="str">
        <f>B225</f>
        <v>unit</v>
      </c>
      <c r="D228" s="27" t="s">
        <v>2</v>
      </c>
      <c r="E228" s="27" t="s">
        <v>29</v>
      </c>
      <c r="F228" s="27" t="str">
        <f>B222</f>
        <v>EUR</v>
      </c>
      <c r="G228" s="27" t="s">
        <v>30</v>
      </c>
      <c r="H228" s="27">
        <v>0</v>
      </c>
      <c r="I228" s="27">
        <f>B228</f>
        <v>1</v>
      </c>
      <c r="J228" s="27" t="s">
        <v>31</v>
      </c>
      <c r="K228" s="27" t="s">
        <v>31</v>
      </c>
      <c r="L228" s="27" t="s">
        <v>31</v>
      </c>
      <c r="M228" s="27" t="s">
        <v>31</v>
      </c>
      <c r="N228" s="27"/>
    </row>
    <row r="229" spans="1:14">
      <c r="A229" s="27" t="s">
        <v>687</v>
      </c>
      <c r="B229" s="27">
        <v>21.599999999999998</v>
      </c>
      <c r="C229" s="27" t="s">
        <v>37</v>
      </c>
      <c r="D229" s="27" t="s">
        <v>40</v>
      </c>
      <c r="E229" s="27" t="s">
        <v>29</v>
      </c>
      <c r="F229" s="27" t="s">
        <v>59</v>
      </c>
      <c r="G229" s="27" t="s">
        <v>33</v>
      </c>
      <c r="H229" s="27">
        <v>2</v>
      </c>
      <c r="I229" s="27">
        <f t="shared" ref="I229:I238" si="9">LN(B229)</f>
        <v>3.0726933146901194</v>
      </c>
      <c r="J229" s="27">
        <v>1</v>
      </c>
      <c r="K229" s="27" t="s">
        <v>31</v>
      </c>
      <c r="L229" s="27" t="s">
        <v>31</v>
      </c>
      <c r="M229" s="27" t="s">
        <v>31</v>
      </c>
      <c r="N229" s="27"/>
    </row>
    <row r="230" spans="1:14">
      <c r="A230" s="37" t="s">
        <v>388</v>
      </c>
      <c r="B230" s="27">
        <v>21.599999999999998</v>
      </c>
      <c r="C230" s="27" t="s">
        <v>37</v>
      </c>
      <c r="D230" s="27" t="s">
        <v>40</v>
      </c>
      <c r="E230" s="27" t="s">
        <v>29</v>
      </c>
      <c r="F230" s="27" t="s">
        <v>59</v>
      </c>
      <c r="G230" s="27" t="s">
        <v>33</v>
      </c>
      <c r="H230" s="27">
        <v>2</v>
      </c>
      <c r="I230" s="27">
        <f t="shared" si="9"/>
        <v>3.0726933146901194</v>
      </c>
      <c r="J230" s="27">
        <v>1</v>
      </c>
      <c r="K230" s="27" t="s">
        <v>31</v>
      </c>
      <c r="L230" s="27" t="s">
        <v>31</v>
      </c>
      <c r="M230" s="27" t="s">
        <v>31</v>
      </c>
      <c r="N230" s="27"/>
    </row>
    <row r="231" spans="1:14">
      <c r="A231" s="27" t="s">
        <v>687</v>
      </c>
      <c r="B231" s="42">
        <v>3301.2</v>
      </c>
      <c r="C231" s="27" t="s">
        <v>37</v>
      </c>
      <c r="D231" s="27" t="s">
        <v>40</v>
      </c>
      <c r="E231" s="27" t="s">
        <v>29</v>
      </c>
      <c r="F231" s="27" t="s">
        <v>59</v>
      </c>
      <c r="G231" s="27" t="s">
        <v>33</v>
      </c>
      <c r="H231" s="27">
        <v>2</v>
      </c>
      <c r="I231" s="27">
        <f t="shared" si="9"/>
        <v>8.1020413177185286</v>
      </c>
      <c r="J231" s="27">
        <v>1</v>
      </c>
      <c r="K231" s="27" t="s">
        <v>31</v>
      </c>
      <c r="L231" s="27" t="s">
        <v>31</v>
      </c>
      <c r="M231" s="27" t="s">
        <v>31</v>
      </c>
      <c r="N231" s="27"/>
    </row>
    <row r="232" spans="1:14">
      <c r="A232" s="27" t="s">
        <v>85</v>
      </c>
      <c r="B232" s="42">
        <v>259.2</v>
      </c>
      <c r="C232" s="27" t="s">
        <v>37</v>
      </c>
      <c r="D232" s="27" t="s">
        <v>40</v>
      </c>
      <c r="E232" s="27" t="s">
        <v>29</v>
      </c>
      <c r="F232" s="27" t="s">
        <v>59</v>
      </c>
      <c r="G232" s="27" t="s">
        <v>33</v>
      </c>
      <c r="H232" s="27">
        <v>2</v>
      </c>
      <c r="I232" s="27">
        <f t="shared" si="9"/>
        <v>5.5575999644781193</v>
      </c>
      <c r="J232" s="27">
        <v>1</v>
      </c>
      <c r="K232" s="27" t="s">
        <v>31</v>
      </c>
      <c r="L232" s="27" t="s">
        <v>31</v>
      </c>
      <c r="M232" s="27" t="s">
        <v>31</v>
      </c>
      <c r="N232" s="27"/>
    </row>
    <row r="233" spans="1:14">
      <c r="A233" s="27" t="s">
        <v>120</v>
      </c>
      <c r="B233" s="42">
        <v>21.599999999999998</v>
      </c>
      <c r="C233" s="27" t="s">
        <v>37</v>
      </c>
      <c r="D233" s="27" t="s">
        <v>40</v>
      </c>
      <c r="E233" s="27" t="s">
        <v>29</v>
      </c>
      <c r="F233" s="27" t="s">
        <v>59</v>
      </c>
      <c r="G233" s="27" t="s">
        <v>33</v>
      </c>
      <c r="H233" s="27">
        <v>2</v>
      </c>
      <c r="I233" s="27">
        <f t="shared" si="9"/>
        <v>3.0726933146901194</v>
      </c>
      <c r="J233" s="27">
        <v>1</v>
      </c>
      <c r="K233" s="27" t="s">
        <v>31</v>
      </c>
      <c r="L233" s="27" t="s">
        <v>31</v>
      </c>
      <c r="M233" s="27" t="s">
        <v>31</v>
      </c>
      <c r="N233" s="27"/>
    </row>
    <row r="234" spans="1:14">
      <c r="A234" s="37" t="s">
        <v>1327</v>
      </c>
      <c r="B234" s="42">
        <v>7.1999999999999993</v>
      </c>
      <c r="C234" s="27" t="s">
        <v>37</v>
      </c>
      <c r="D234" s="27" t="s">
        <v>40</v>
      </c>
      <c r="E234" s="27" t="s">
        <v>29</v>
      </c>
      <c r="F234" s="27" t="s">
        <v>59</v>
      </c>
      <c r="G234" s="27" t="s">
        <v>33</v>
      </c>
      <c r="H234" s="27">
        <v>2</v>
      </c>
      <c r="I234" s="27">
        <f t="shared" si="9"/>
        <v>1.9740810260220096</v>
      </c>
      <c r="J234" s="27">
        <v>1</v>
      </c>
      <c r="K234" s="27" t="s">
        <v>31</v>
      </c>
      <c r="L234" s="27" t="s">
        <v>31</v>
      </c>
      <c r="M234" s="27" t="s">
        <v>31</v>
      </c>
      <c r="N234" s="27"/>
    </row>
    <row r="235" spans="1:14">
      <c r="A235" s="27" t="s">
        <v>1331</v>
      </c>
      <c r="B235" s="42">
        <v>21.599999999999998</v>
      </c>
      <c r="C235" s="27" t="s">
        <v>37</v>
      </c>
      <c r="D235" s="27" t="s">
        <v>40</v>
      </c>
      <c r="E235" s="27" t="s">
        <v>29</v>
      </c>
      <c r="F235" s="27" t="s">
        <v>59</v>
      </c>
      <c r="G235" s="27" t="s">
        <v>33</v>
      </c>
      <c r="H235" s="27">
        <v>2</v>
      </c>
      <c r="I235" s="27">
        <f t="shared" si="9"/>
        <v>3.0726933146901194</v>
      </c>
      <c r="J235" s="27">
        <v>1</v>
      </c>
      <c r="K235" s="27" t="s">
        <v>31</v>
      </c>
      <c r="L235" s="27" t="s">
        <v>31</v>
      </c>
      <c r="M235" s="27" t="s">
        <v>31</v>
      </c>
      <c r="N235" s="27"/>
    </row>
    <row r="236" spans="1:14">
      <c r="A236" s="27" t="s">
        <v>1312</v>
      </c>
      <c r="B236" s="42">
        <v>432</v>
      </c>
      <c r="C236" s="27" t="s">
        <v>37</v>
      </c>
      <c r="D236" s="27" t="s">
        <v>40</v>
      </c>
      <c r="E236" s="27" t="s">
        <v>29</v>
      </c>
      <c r="F236" s="27" t="s">
        <v>59</v>
      </c>
      <c r="G236" s="27" t="s">
        <v>33</v>
      </c>
      <c r="H236" s="27">
        <v>2</v>
      </c>
      <c r="I236" s="27">
        <f t="shared" si="9"/>
        <v>6.0684255882441107</v>
      </c>
      <c r="J236" s="27">
        <v>1</v>
      </c>
      <c r="K236" s="27" t="s">
        <v>31</v>
      </c>
      <c r="L236" s="27" t="s">
        <v>31</v>
      </c>
      <c r="M236" s="27" t="s">
        <v>31</v>
      </c>
      <c r="N236" s="27"/>
    </row>
    <row r="237" spans="1:14">
      <c r="A237" s="27" t="s">
        <v>614</v>
      </c>
      <c r="B237" s="27">
        <v>432</v>
      </c>
      <c r="C237" s="27" t="s">
        <v>37</v>
      </c>
      <c r="D237" s="27" t="s">
        <v>40</v>
      </c>
      <c r="E237" s="27" t="s">
        <v>29</v>
      </c>
      <c r="F237" s="27" t="s">
        <v>59</v>
      </c>
      <c r="G237" s="27" t="s">
        <v>33</v>
      </c>
      <c r="H237" s="27">
        <v>2</v>
      </c>
      <c r="I237" s="27">
        <f t="shared" si="9"/>
        <v>6.0684255882441107</v>
      </c>
      <c r="J237" s="27">
        <v>1</v>
      </c>
      <c r="K237" s="27" t="s">
        <v>31</v>
      </c>
      <c r="L237" s="27" t="s">
        <v>31</v>
      </c>
      <c r="M237" s="27" t="s">
        <v>31</v>
      </c>
      <c r="N237" s="27"/>
    </row>
    <row r="238" spans="1:14">
      <c r="A238" s="37" t="s">
        <v>121</v>
      </c>
      <c r="B238" s="27">
        <v>122.4</v>
      </c>
      <c r="C238" s="27" t="s">
        <v>37</v>
      </c>
      <c r="D238" s="27" t="s">
        <v>40</v>
      </c>
      <c r="E238" s="27" t="s">
        <v>29</v>
      </c>
      <c r="F238" s="27" t="s">
        <v>59</v>
      </c>
      <c r="G238" s="27" t="s">
        <v>33</v>
      </c>
      <c r="H238" s="27">
        <v>2</v>
      </c>
      <c r="I238" s="27">
        <f t="shared" si="9"/>
        <v>4.8072943700782256</v>
      </c>
      <c r="J238" s="27">
        <v>1</v>
      </c>
      <c r="K238" s="27" t="s">
        <v>31</v>
      </c>
      <c r="L238" s="27" t="s">
        <v>31</v>
      </c>
      <c r="M238" s="27" t="s">
        <v>31</v>
      </c>
      <c r="N238" s="27"/>
    </row>
    <row r="239" spans="1:14" s="27" customFormat="1" ht="15.6">
      <c r="A239" s="28" t="s">
        <v>5</v>
      </c>
      <c r="B239" s="28" t="s">
        <v>1303</v>
      </c>
      <c r="C239" s="29"/>
      <c r="D239" s="30"/>
      <c r="E239" s="30"/>
      <c r="F239" s="30"/>
      <c r="G239" s="30"/>
      <c r="H239" s="30"/>
      <c r="I239" s="30"/>
      <c r="J239" s="30"/>
      <c r="K239" s="30"/>
      <c r="L239" s="30"/>
      <c r="M239" s="30"/>
      <c r="N239" s="30"/>
    </row>
    <row r="240" spans="1:14" s="27" customFormat="1" ht="12.95">
      <c r="A240" s="27" t="s">
        <v>7</v>
      </c>
      <c r="B240" s="27" t="s">
        <v>184</v>
      </c>
    </row>
    <row r="241" spans="1:14" s="27" customFormat="1" ht="12.95">
      <c r="A241" s="27" t="s">
        <v>9</v>
      </c>
      <c r="B241" s="27" t="s">
        <v>1355</v>
      </c>
    </row>
    <row r="242" spans="1:14" s="27" customFormat="1" ht="39">
      <c r="A242" s="27" t="s">
        <v>11</v>
      </c>
      <c r="B242" s="217" t="s">
        <v>1356</v>
      </c>
    </row>
    <row r="243" spans="1:14" s="27" customFormat="1" ht="12.95">
      <c r="A243" s="27" t="s">
        <v>13</v>
      </c>
      <c r="B243" s="27" t="s">
        <v>14</v>
      </c>
    </row>
    <row r="244" spans="1:14" s="27" customFormat="1" ht="12.95">
      <c r="A244" s="27" t="s">
        <v>15</v>
      </c>
      <c r="B244" s="37">
        <v>1</v>
      </c>
    </row>
    <row r="245" spans="1:14" s="27" customFormat="1" ht="12.95">
      <c r="A245" s="27" t="s">
        <v>16</v>
      </c>
      <c r="B245" s="27" t="s">
        <v>17</v>
      </c>
    </row>
    <row r="246" spans="1:14" s="27" customFormat="1" ht="12.95">
      <c r="A246" s="27" t="s">
        <v>18</v>
      </c>
      <c r="B246" s="27" t="s">
        <v>18</v>
      </c>
    </row>
    <row r="247" spans="1:14" ht="15.6">
      <c r="A247" s="26" t="s">
        <v>19</v>
      </c>
    </row>
    <row r="248" spans="1:14" ht="15.6">
      <c r="A248" s="26" t="s">
        <v>20</v>
      </c>
      <c r="B248" s="26" t="s">
        <v>21</v>
      </c>
      <c r="C248" s="26" t="s">
        <v>18</v>
      </c>
      <c r="D248" s="26" t="s">
        <v>22</v>
      </c>
      <c r="E248" s="26" t="s">
        <v>7</v>
      </c>
      <c r="F248" s="26" t="s">
        <v>13</v>
      </c>
      <c r="G248" s="26" t="s">
        <v>16</v>
      </c>
      <c r="H248" s="26" t="s">
        <v>23</v>
      </c>
      <c r="I248" s="26" t="s">
        <v>24</v>
      </c>
      <c r="J248" s="26" t="s">
        <v>25</v>
      </c>
      <c r="K248" s="26" t="s">
        <v>26</v>
      </c>
      <c r="L248" s="26" t="s">
        <v>27</v>
      </c>
      <c r="M248" s="26" t="s">
        <v>28</v>
      </c>
      <c r="N248" s="26" t="s">
        <v>187</v>
      </c>
    </row>
    <row r="249" spans="1:14">
      <c r="A249" s="27" t="s">
        <v>1303</v>
      </c>
      <c r="B249" s="27">
        <f>B244</f>
        <v>1</v>
      </c>
      <c r="C249" s="27" t="str">
        <f>B246</f>
        <v>unit</v>
      </c>
      <c r="D249" s="27" t="s">
        <v>2</v>
      </c>
      <c r="E249" s="27" t="s">
        <v>29</v>
      </c>
      <c r="F249" s="27" t="str">
        <f>B243</f>
        <v>EUR</v>
      </c>
      <c r="G249" s="27" t="s">
        <v>30</v>
      </c>
      <c r="H249" s="27">
        <v>0</v>
      </c>
      <c r="I249" s="27">
        <f>B249</f>
        <v>1</v>
      </c>
      <c r="J249" s="27" t="s">
        <v>31</v>
      </c>
      <c r="K249" s="27" t="s">
        <v>31</v>
      </c>
      <c r="L249" s="27" t="s">
        <v>31</v>
      </c>
      <c r="M249" s="27" t="s">
        <v>31</v>
      </c>
      <c r="N249" s="27"/>
    </row>
    <row r="250" spans="1:14">
      <c r="A250" s="37" t="s">
        <v>1326</v>
      </c>
      <c r="B250" s="27">
        <v>1766432.0000000002</v>
      </c>
      <c r="C250" s="27" t="s">
        <v>37</v>
      </c>
      <c r="D250" s="27" t="s">
        <v>40</v>
      </c>
      <c r="E250" s="27" t="s">
        <v>29</v>
      </c>
      <c r="F250" s="27" t="s">
        <v>59</v>
      </c>
      <c r="G250" s="27" t="s">
        <v>33</v>
      </c>
      <c r="H250" s="27">
        <v>2</v>
      </c>
      <c r="I250" s="27">
        <f t="shared" ref="I250:I265" si="10">LN(B250)</f>
        <v>14.384472250842851</v>
      </c>
      <c r="J250" s="27">
        <v>1</v>
      </c>
      <c r="K250" s="27" t="s">
        <v>31</v>
      </c>
      <c r="L250" s="27" t="s">
        <v>31</v>
      </c>
      <c r="M250" s="27" t="s">
        <v>31</v>
      </c>
      <c r="N250" s="27"/>
    </row>
    <row r="251" spans="1:14">
      <c r="A251" s="37" t="s">
        <v>1326</v>
      </c>
      <c r="B251" s="27">
        <v>3075.2000000000003</v>
      </c>
      <c r="C251" s="27" t="s">
        <v>37</v>
      </c>
      <c r="D251" s="27" t="s">
        <v>40</v>
      </c>
      <c r="E251" s="27" t="s">
        <v>29</v>
      </c>
      <c r="F251" s="27" t="s">
        <v>59</v>
      </c>
      <c r="G251" s="27" t="s">
        <v>33</v>
      </c>
      <c r="H251" s="27">
        <v>2</v>
      </c>
      <c r="I251" s="27">
        <f t="shared" si="10"/>
        <v>8.0311252187759727</v>
      </c>
      <c r="J251" s="27">
        <v>1</v>
      </c>
      <c r="K251" s="27" t="s">
        <v>31</v>
      </c>
      <c r="L251" s="27" t="s">
        <v>31</v>
      </c>
      <c r="M251" s="27" t="s">
        <v>31</v>
      </c>
      <c r="N251" s="27"/>
    </row>
    <row r="252" spans="1:14">
      <c r="A252" s="37" t="s">
        <v>388</v>
      </c>
      <c r="B252" s="27">
        <v>3075.2000000000003</v>
      </c>
      <c r="C252" s="27" t="s">
        <v>37</v>
      </c>
      <c r="D252" s="27" t="s">
        <v>40</v>
      </c>
      <c r="E252" s="27" t="s">
        <v>29</v>
      </c>
      <c r="F252" s="27" t="s">
        <v>59</v>
      </c>
      <c r="G252" s="27" t="s">
        <v>33</v>
      </c>
      <c r="H252" s="27">
        <v>2</v>
      </c>
      <c r="I252" s="27">
        <f t="shared" si="10"/>
        <v>8.0311252187759727</v>
      </c>
      <c r="J252" s="27">
        <v>1</v>
      </c>
      <c r="K252" s="27" t="s">
        <v>31</v>
      </c>
      <c r="L252" s="27" t="s">
        <v>31</v>
      </c>
      <c r="M252" s="27" t="s">
        <v>31</v>
      </c>
      <c r="N252" s="27"/>
    </row>
    <row r="253" spans="1:14">
      <c r="A253" s="27" t="s">
        <v>687</v>
      </c>
      <c r="B253" s="27">
        <v>31152</v>
      </c>
      <c r="C253" s="27" t="s">
        <v>37</v>
      </c>
      <c r="D253" s="27" t="s">
        <v>40</v>
      </c>
      <c r="E253" s="27" t="s">
        <v>29</v>
      </c>
      <c r="F253" s="27" t="s">
        <v>59</v>
      </c>
      <c r="G253" s="27" t="s">
        <v>33</v>
      </c>
      <c r="H253" s="27">
        <v>2</v>
      </c>
      <c r="I253" s="27">
        <f t="shared" si="10"/>
        <v>10.34663372761198</v>
      </c>
      <c r="J253" s="27">
        <v>1</v>
      </c>
      <c r="K253" s="27" t="s">
        <v>31</v>
      </c>
      <c r="L253" s="27" t="s">
        <v>31</v>
      </c>
      <c r="M253" s="27" t="s">
        <v>31</v>
      </c>
      <c r="N253" s="27"/>
    </row>
    <row r="254" spans="1:14">
      <c r="A254" s="27" t="s">
        <v>85</v>
      </c>
      <c r="B254" s="27">
        <v>44.800000000000004</v>
      </c>
      <c r="C254" s="27" t="s">
        <v>37</v>
      </c>
      <c r="D254" s="27" t="s">
        <v>40</v>
      </c>
      <c r="E254" s="27" t="s">
        <v>29</v>
      </c>
      <c r="F254" s="27" t="s">
        <v>59</v>
      </c>
      <c r="G254" s="27" t="s">
        <v>33</v>
      </c>
      <c r="H254" s="27">
        <v>2</v>
      </c>
      <c r="I254" s="27">
        <f t="shared" si="10"/>
        <v>3.8022081394209395</v>
      </c>
      <c r="J254" s="27">
        <v>1</v>
      </c>
      <c r="K254" s="27" t="s">
        <v>31</v>
      </c>
      <c r="L254" s="27" t="s">
        <v>31</v>
      </c>
      <c r="M254" s="27" t="s">
        <v>31</v>
      </c>
      <c r="N254" s="27"/>
    </row>
    <row r="255" spans="1:14">
      <c r="A255" s="27" t="s">
        <v>120</v>
      </c>
      <c r="B255" s="27">
        <v>38537.600000000006</v>
      </c>
      <c r="C255" s="27" t="s">
        <v>37</v>
      </c>
      <c r="D255" s="27" t="s">
        <v>40</v>
      </c>
      <c r="E255" s="27" t="s">
        <v>29</v>
      </c>
      <c r="F255" s="27" t="s">
        <v>59</v>
      </c>
      <c r="G255" s="27" t="s">
        <v>33</v>
      </c>
      <c r="H255" s="27">
        <v>2</v>
      </c>
      <c r="I255" s="27">
        <f t="shared" si="10"/>
        <v>10.559389667066162</v>
      </c>
      <c r="J255" s="27">
        <v>1</v>
      </c>
      <c r="K255" s="27" t="s">
        <v>31</v>
      </c>
      <c r="L255" s="27" t="s">
        <v>31</v>
      </c>
      <c r="M255" s="27" t="s">
        <v>31</v>
      </c>
      <c r="N255" s="27"/>
    </row>
    <row r="256" spans="1:14">
      <c r="A256" s="27" t="s">
        <v>1331</v>
      </c>
      <c r="B256" s="27">
        <v>3.2</v>
      </c>
      <c r="C256" s="27" t="s">
        <v>37</v>
      </c>
      <c r="D256" s="27" t="s">
        <v>40</v>
      </c>
      <c r="E256" s="27" t="s">
        <v>29</v>
      </c>
      <c r="F256" s="27" t="s">
        <v>59</v>
      </c>
      <c r="G256" s="27" t="s">
        <v>33</v>
      </c>
      <c r="H256" s="27">
        <v>2</v>
      </c>
      <c r="I256" s="27">
        <f t="shared" si="10"/>
        <v>1.1631508098056809</v>
      </c>
      <c r="J256" s="27">
        <v>1</v>
      </c>
      <c r="K256" s="27" t="s">
        <v>31</v>
      </c>
      <c r="L256" s="27" t="s">
        <v>31</v>
      </c>
      <c r="M256" s="27" t="s">
        <v>31</v>
      </c>
      <c r="N256" s="27"/>
    </row>
    <row r="257" spans="1:14">
      <c r="A257" s="27" t="s">
        <v>344</v>
      </c>
      <c r="B257" s="27">
        <v>5363.2000000000007</v>
      </c>
      <c r="C257" s="27" t="s">
        <v>37</v>
      </c>
      <c r="D257" s="27" t="s">
        <v>40</v>
      </c>
      <c r="E257" s="27" t="s">
        <v>29</v>
      </c>
      <c r="F257" s="27" t="s">
        <v>59</v>
      </c>
      <c r="G257" s="27" t="s">
        <v>33</v>
      </c>
      <c r="H257" s="27">
        <v>2</v>
      </c>
      <c r="I257" s="27">
        <f t="shared" si="10"/>
        <v>8.5873160908477093</v>
      </c>
      <c r="J257" s="27">
        <v>1</v>
      </c>
      <c r="K257" s="27" t="s">
        <v>31</v>
      </c>
      <c r="L257" s="27" t="s">
        <v>31</v>
      </c>
      <c r="M257" s="27" t="s">
        <v>31</v>
      </c>
      <c r="N257" s="27"/>
    </row>
    <row r="258" spans="1:14">
      <c r="A258" s="27" t="s">
        <v>1312</v>
      </c>
      <c r="B258" s="27">
        <v>1363.2</v>
      </c>
      <c r="C258" s="27" t="s">
        <v>37</v>
      </c>
      <c r="D258" s="27" t="s">
        <v>40</v>
      </c>
      <c r="E258" s="27" t="s">
        <v>29</v>
      </c>
      <c r="F258" s="27" t="s">
        <v>59</v>
      </c>
      <c r="G258" s="27" t="s">
        <v>33</v>
      </c>
      <c r="H258" s="27">
        <v>2</v>
      </c>
      <c r="I258" s="27">
        <f t="shared" si="10"/>
        <v>7.2175901560750511</v>
      </c>
      <c r="J258" s="27">
        <v>1</v>
      </c>
      <c r="K258" s="27" t="s">
        <v>31</v>
      </c>
      <c r="L258" s="27" t="s">
        <v>31</v>
      </c>
      <c r="M258" s="27" t="s">
        <v>31</v>
      </c>
      <c r="N258" s="27"/>
    </row>
    <row r="259" spans="1:14">
      <c r="A259" s="27" t="s">
        <v>614</v>
      </c>
      <c r="B259" s="27">
        <v>1363.2</v>
      </c>
      <c r="C259" s="27" t="s">
        <v>37</v>
      </c>
      <c r="D259" s="27" t="s">
        <v>40</v>
      </c>
      <c r="E259" s="27" t="s">
        <v>29</v>
      </c>
      <c r="F259" s="27" t="s">
        <v>59</v>
      </c>
      <c r="G259" s="27" t="s">
        <v>33</v>
      </c>
      <c r="H259" s="27">
        <v>2</v>
      </c>
      <c r="I259" s="27">
        <f t="shared" si="10"/>
        <v>7.2175901560750511</v>
      </c>
      <c r="J259" s="27">
        <v>1</v>
      </c>
      <c r="K259" s="27" t="s">
        <v>31</v>
      </c>
      <c r="L259" s="27" t="s">
        <v>31</v>
      </c>
      <c r="M259" s="27" t="s">
        <v>31</v>
      </c>
      <c r="N259" s="27"/>
    </row>
    <row r="260" spans="1:14">
      <c r="A260" s="37" t="s">
        <v>121</v>
      </c>
      <c r="B260" s="27">
        <v>19.200000000000003</v>
      </c>
      <c r="C260" s="27" t="s">
        <v>37</v>
      </c>
      <c r="D260" s="27" t="s">
        <v>40</v>
      </c>
      <c r="E260" s="27" t="s">
        <v>29</v>
      </c>
      <c r="F260" s="27" t="s">
        <v>59</v>
      </c>
      <c r="G260" s="27" t="s">
        <v>33</v>
      </c>
      <c r="H260" s="27">
        <v>2</v>
      </c>
      <c r="I260" s="27">
        <f t="shared" si="10"/>
        <v>2.954910279033736</v>
      </c>
      <c r="J260" s="27">
        <v>1</v>
      </c>
      <c r="K260" s="27" t="s">
        <v>31</v>
      </c>
      <c r="L260" s="27" t="s">
        <v>31</v>
      </c>
      <c r="M260" s="27" t="s">
        <v>31</v>
      </c>
      <c r="N260" s="27"/>
    </row>
    <row r="261" spans="1:14">
      <c r="A261" s="37" t="s">
        <v>1357</v>
      </c>
      <c r="B261" s="27">
        <f>13542.4/0.075</f>
        <v>180565.33333333334</v>
      </c>
      <c r="C261" s="27" t="s">
        <v>18</v>
      </c>
      <c r="D261" s="27" t="s">
        <v>40</v>
      </c>
      <c r="E261" s="27" t="s">
        <v>29</v>
      </c>
      <c r="F261" s="27" t="s">
        <v>59</v>
      </c>
      <c r="G261" s="27" t="s">
        <v>33</v>
      </c>
      <c r="H261" s="27">
        <v>2</v>
      </c>
      <c r="I261" s="27">
        <f t="shared" si="10"/>
        <v>12.103847948789642</v>
      </c>
      <c r="J261" s="27">
        <v>1</v>
      </c>
      <c r="K261" s="27" t="s">
        <v>31</v>
      </c>
      <c r="L261" s="27" t="s">
        <v>31</v>
      </c>
      <c r="M261" s="27" t="s">
        <v>31</v>
      </c>
      <c r="N261" s="27"/>
    </row>
    <row r="262" spans="1:14">
      <c r="A262" s="37" t="s">
        <v>145</v>
      </c>
      <c r="B262" s="27">
        <v>35.200000000000003</v>
      </c>
      <c r="C262" s="27" t="s">
        <v>37</v>
      </c>
      <c r="D262" s="27" t="s">
        <v>40</v>
      </c>
      <c r="E262" s="27" t="s">
        <v>29</v>
      </c>
      <c r="F262" s="27" t="s">
        <v>59</v>
      </c>
      <c r="G262" s="27" t="s">
        <v>33</v>
      </c>
      <c r="H262" s="27">
        <v>2</v>
      </c>
      <c r="I262" s="27">
        <f t="shared" si="10"/>
        <v>3.5610460826040513</v>
      </c>
      <c r="J262" s="27">
        <v>1</v>
      </c>
      <c r="K262" s="27" t="s">
        <v>31</v>
      </c>
      <c r="L262" s="27" t="s">
        <v>31</v>
      </c>
      <c r="M262" s="27" t="s">
        <v>31</v>
      </c>
      <c r="N262" s="37" t="s">
        <v>1341</v>
      </c>
    </row>
    <row r="263" spans="1:14">
      <c r="A263" s="27" t="s">
        <v>862</v>
      </c>
      <c r="B263" s="27">
        <v>57.6</v>
      </c>
      <c r="C263" s="27" t="s">
        <v>37</v>
      </c>
      <c r="D263" s="27" t="s">
        <v>40</v>
      </c>
      <c r="E263" s="27" t="s">
        <v>29</v>
      </c>
      <c r="F263" s="27" t="s">
        <v>59</v>
      </c>
      <c r="G263" s="27" t="s">
        <v>33</v>
      </c>
      <c r="H263" s="27">
        <v>2</v>
      </c>
      <c r="I263" s="27">
        <f t="shared" si="10"/>
        <v>4.0535225677018456</v>
      </c>
      <c r="J263" s="27">
        <v>1</v>
      </c>
      <c r="K263" s="27" t="s">
        <v>31</v>
      </c>
      <c r="L263" s="27" t="s">
        <v>31</v>
      </c>
      <c r="M263" s="27" t="s">
        <v>31</v>
      </c>
      <c r="N263" s="27"/>
    </row>
    <row r="264" spans="1:14">
      <c r="A264" s="37" t="s">
        <v>1314</v>
      </c>
      <c r="B264" s="42">
        <v>134.4</v>
      </c>
      <c r="C264" s="27" t="s">
        <v>37</v>
      </c>
      <c r="D264" s="27" t="s">
        <v>40</v>
      </c>
      <c r="E264" s="27" t="s">
        <v>29</v>
      </c>
      <c r="F264" s="27" t="s">
        <v>59</v>
      </c>
      <c r="G264" s="27" t="s">
        <v>33</v>
      </c>
      <c r="H264" s="27">
        <v>2</v>
      </c>
      <c r="I264" s="27">
        <f t="shared" si="10"/>
        <v>4.9008204280890491</v>
      </c>
      <c r="J264" s="27">
        <v>1</v>
      </c>
      <c r="K264" s="27" t="s">
        <v>31</v>
      </c>
      <c r="L264" s="27" t="s">
        <v>31</v>
      </c>
      <c r="M264" s="27" t="s">
        <v>31</v>
      </c>
      <c r="N264" s="37" t="s">
        <v>1358</v>
      </c>
    </row>
    <row r="265" spans="1:14">
      <c r="A265" s="27" t="s">
        <v>1359</v>
      </c>
      <c r="B265" s="27">
        <v>52819.200000000004</v>
      </c>
      <c r="C265" s="27" t="s">
        <v>37</v>
      </c>
      <c r="D265" s="27" t="s">
        <v>40</v>
      </c>
      <c r="E265" s="27" t="s">
        <v>29</v>
      </c>
      <c r="F265" s="27" t="s">
        <v>35</v>
      </c>
      <c r="G265" s="27" t="s">
        <v>33</v>
      </c>
      <c r="H265" s="27">
        <v>2</v>
      </c>
      <c r="I265" s="27">
        <f t="shared" si="10"/>
        <v>10.87463003995831</v>
      </c>
      <c r="J265" s="27">
        <v>1</v>
      </c>
      <c r="K265" s="27" t="s">
        <v>31</v>
      </c>
      <c r="L265" s="27" t="s">
        <v>31</v>
      </c>
      <c r="M265" s="27" t="s">
        <v>31</v>
      </c>
      <c r="N265" s="27" t="s">
        <v>1360</v>
      </c>
    </row>
    <row r="266" spans="1:14">
      <c r="A266" s="30"/>
      <c r="B266" s="30"/>
      <c r="C266" s="30"/>
      <c r="D266" s="30"/>
      <c r="E266" s="30"/>
      <c r="F266" s="30"/>
      <c r="G266" s="30"/>
      <c r="H266" s="30"/>
      <c r="I266" s="30"/>
      <c r="J266" s="30"/>
      <c r="K266" s="30"/>
      <c r="L266" s="30"/>
      <c r="M266" s="30"/>
      <c r="N266" s="30"/>
    </row>
  </sheetData>
  <pageMargins left="0.7" right="0.7" top="0.75" bottom="0.75" header="0.3" footer="0.3"/>
  <pageSetup paperSize="9" orientation="portrai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BC45B-C8B2-405A-B683-EECC86C937F6}">
  <sheetPr>
    <tabColor theme="9"/>
  </sheetPr>
  <dimension ref="A1:P99"/>
  <sheetViews>
    <sheetView topLeftCell="A67" zoomScale="70" zoomScaleNormal="70" workbookViewId="0">
      <selection activeCell="D101" sqref="D101"/>
    </sheetView>
  </sheetViews>
  <sheetFormatPr defaultRowHeight="14.45"/>
  <cols>
    <col min="1" max="1" width="65.5703125" customWidth="1"/>
    <col min="5" max="5" width="30" bestFit="1" customWidth="1"/>
    <col min="6" max="6" width="30.140625" bestFit="1" customWidth="1"/>
  </cols>
  <sheetData>
    <row r="1" spans="1:16">
      <c r="A1" t="s">
        <v>0</v>
      </c>
      <c r="B1">
        <v>14</v>
      </c>
    </row>
    <row r="2" spans="1:16" s="70" customFormat="1" ht="15.6">
      <c r="A2" s="178" t="s">
        <v>5</v>
      </c>
      <c r="B2" s="178" t="s">
        <v>1361</v>
      </c>
      <c r="C2" s="178"/>
      <c r="D2" s="69"/>
      <c r="E2" s="144"/>
      <c r="F2" s="144"/>
      <c r="G2" s="144"/>
      <c r="H2" s="144"/>
      <c r="I2" s="144"/>
      <c r="J2" s="144"/>
      <c r="K2" s="144"/>
      <c r="L2" s="144"/>
      <c r="M2" s="144"/>
      <c r="N2" s="144"/>
      <c r="O2" s="144"/>
      <c r="P2" s="144"/>
    </row>
    <row r="3" spans="1:16">
      <c r="A3" s="59" t="s">
        <v>7</v>
      </c>
      <c r="B3" s="59" t="s">
        <v>1362</v>
      </c>
      <c r="C3" s="59"/>
      <c r="D3" s="59"/>
      <c r="E3" s="59"/>
      <c r="F3" s="59"/>
      <c r="G3" s="59"/>
      <c r="H3" s="59"/>
      <c r="I3" s="59"/>
      <c r="J3" s="59"/>
      <c r="K3" s="59"/>
      <c r="L3" s="59"/>
      <c r="M3" s="59"/>
      <c r="N3" s="59"/>
      <c r="O3" s="59"/>
      <c r="P3" s="59"/>
    </row>
    <row r="4" spans="1:16">
      <c r="A4" s="59" t="s">
        <v>9</v>
      </c>
      <c r="B4" s="186" t="s">
        <v>1363</v>
      </c>
      <c r="C4" s="59"/>
      <c r="D4" s="59"/>
      <c r="E4" s="59"/>
      <c r="F4" s="59"/>
      <c r="G4" s="59"/>
      <c r="H4" s="59"/>
      <c r="I4" s="59"/>
      <c r="J4" s="59"/>
      <c r="K4" s="59"/>
      <c r="L4" s="59"/>
      <c r="M4" s="59"/>
      <c r="N4" s="59"/>
      <c r="O4" s="59"/>
      <c r="P4" s="59"/>
    </row>
    <row r="5" spans="1:16">
      <c r="A5" s="59" t="s">
        <v>11</v>
      </c>
      <c r="B5" s="59" t="s">
        <v>1364</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ht="15.6">
      <c r="A9" s="59" t="s">
        <v>18</v>
      </c>
      <c r="B9" s="180" t="s">
        <v>37</v>
      </c>
      <c r="C9" s="59"/>
      <c r="D9" s="59"/>
      <c r="E9" s="59" t="s">
        <v>235</v>
      </c>
      <c r="F9" s="59"/>
      <c r="G9" s="59"/>
      <c r="H9" s="59"/>
      <c r="I9" s="59"/>
      <c r="J9" s="59"/>
      <c r="K9" s="59"/>
      <c r="L9" s="59"/>
      <c r="M9" s="59"/>
      <c r="N9" s="59"/>
      <c r="O9" s="59"/>
      <c r="P9" s="59"/>
    </row>
    <row r="10" spans="1:16" ht="15.6">
      <c r="A10" s="181" t="s">
        <v>19</v>
      </c>
      <c r="B10" s="59"/>
      <c r="C10" s="59"/>
      <c r="D10" s="59"/>
      <c r="E10" s="59"/>
      <c r="F10" s="59"/>
      <c r="G10" s="59"/>
      <c r="H10" s="59"/>
      <c r="I10" s="59"/>
      <c r="J10" s="59"/>
      <c r="K10" s="59"/>
      <c r="L10" s="59"/>
      <c r="M10" s="59"/>
      <c r="N10" s="59"/>
      <c r="O10" s="59"/>
      <c r="P10" s="59"/>
    </row>
    <row r="11" spans="1:16"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6">
      <c r="A12" s="180" t="str">
        <f>B2</f>
        <v>treatment of aluminium, H2 plant construction EoL, PEMFC-bat</v>
      </c>
      <c r="B12" s="180">
        <v>1</v>
      </c>
      <c r="C12" s="180"/>
      <c r="D12" s="180" t="s">
        <v>37</v>
      </c>
      <c r="E12" s="59" t="s">
        <v>2</v>
      </c>
      <c r="F12" s="59" t="s">
        <v>1365</v>
      </c>
      <c r="G12" s="180" t="s">
        <v>59</v>
      </c>
      <c r="H12" s="59" t="s">
        <v>30</v>
      </c>
      <c r="I12" s="59">
        <v>0</v>
      </c>
      <c r="J12" s="180" t="s">
        <v>31</v>
      </c>
      <c r="K12" s="180" t="s">
        <v>31</v>
      </c>
      <c r="L12" s="180" t="s">
        <v>31</v>
      </c>
      <c r="M12" s="180" t="s">
        <v>31</v>
      </c>
      <c r="N12" s="180" t="s">
        <v>31</v>
      </c>
      <c r="O12" s="180" t="s">
        <v>1366</v>
      </c>
      <c r="P12" s="59"/>
    </row>
    <row r="13" spans="1:16" ht="15.6">
      <c r="A13" t="s">
        <v>263</v>
      </c>
      <c r="B13" s="23">
        <v>0.85</v>
      </c>
      <c r="C13" s="180"/>
      <c r="D13" s="180" t="s">
        <v>37</v>
      </c>
      <c r="E13" s="37" t="s">
        <v>40</v>
      </c>
      <c r="F13" s="59" t="s">
        <v>1365</v>
      </c>
      <c r="G13" s="180" t="s">
        <v>82</v>
      </c>
      <c r="H13" s="59" t="s">
        <v>33</v>
      </c>
      <c r="I13" s="59">
        <v>0</v>
      </c>
      <c r="J13" s="180" t="s">
        <v>31</v>
      </c>
      <c r="K13" s="180" t="s">
        <v>31</v>
      </c>
      <c r="L13" s="180" t="s">
        <v>31</v>
      </c>
      <c r="M13" s="180" t="s">
        <v>31</v>
      </c>
      <c r="N13" s="180" t="s">
        <v>31</v>
      </c>
      <c r="O13" s="59"/>
      <c r="P13" s="59"/>
    </row>
    <row r="14" spans="1:16" ht="15.6">
      <c r="A14" t="s">
        <v>265</v>
      </c>
      <c r="B14" s="23">
        <v>0.85</v>
      </c>
      <c r="C14" s="22" t="s">
        <v>266</v>
      </c>
      <c r="D14" t="s">
        <v>37</v>
      </c>
      <c r="E14" s="188" t="s">
        <v>40</v>
      </c>
      <c r="F14" s="59" t="s">
        <v>1365</v>
      </c>
      <c r="G14" s="180" t="s">
        <v>82</v>
      </c>
      <c r="H14" s="59" t="s">
        <v>33</v>
      </c>
      <c r="I14" s="59">
        <v>0</v>
      </c>
      <c r="J14" s="180" t="s">
        <v>31</v>
      </c>
      <c r="K14" s="180" t="s">
        <v>31</v>
      </c>
      <c r="L14" s="180" t="s">
        <v>31</v>
      </c>
      <c r="M14" s="180" t="s">
        <v>31</v>
      </c>
      <c r="N14" s="180" t="s">
        <v>31</v>
      </c>
      <c r="O14" s="180" t="s">
        <v>1367</v>
      </c>
    </row>
    <row r="15" spans="1:16" ht="15.6">
      <c r="A15" t="s">
        <v>347</v>
      </c>
      <c r="B15" s="23">
        <f>B14*0.9</f>
        <v>0.76500000000000001</v>
      </c>
      <c r="D15" t="s">
        <v>37</v>
      </c>
      <c r="E15" s="188" t="s">
        <v>40</v>
      </c>
      <c r="F15" s="59" t="s">
        <v>1365</v>
      </c>
      <c r="G15" t="s">
        <v>59</v>
      </c>
      <c r="H15" s="59" t="s">
        <v>136</v>
      </c>
      <c r="I15" s="59">
        <v>0</v>
      </c>
      <c r="J15" s="180" t="s">
        <v>31</v>
      </c>
      <c r="K15" s="180" t="s">
        <v>31</v>
      </c>
      <c r="L15" s="180" t="s">
        <v>31</v>
      </c>
      <c r="M15" s="180" t="s">
        <v>31</v>
      </c>
      <c r="N15" s="180" t="s">
        <v>31</v>
      </c>
      <c r="O15" s="59"/>
      <c r="P15" s="180" t="s">
        <v>1368</v>
      </c>
    </row>
    <row r="16" spans="1:16" ht="15.6">
      <c r="A16" t="s">
        <v>403</v>
      </c>
      <c r="B16" s="23">
        <f>-(1-B15)</f>
        <v>-0.23499999999999999</v>
      </c>
      <c r="D16" t="s">
        <v>37</v>
      </c>
      <c r="E16" s="88" t="s">
        <v>40</v>
      </c>
      <c r="F16" s="59" t="s">
        <v>1365</v>
      </c>
      <c r="G16" t="s">
        <v>59</v>
      </c>
      <c r="H16" t="s">
        <v>33</v>
      </c>
      <c r="I16">
        <v>0</v>
      </c>
      <c r="J16" t="s">
        <v>31</v>
      </c>
      <c r="K16" t="s">
        <v>31</v>
      </c>
      <c r="L16" t="s">
        <v>31</v>
      </c>
      <c r="M16" t="s">
        <v>31</v>
      </c>
      <c r="N16" t="s">
        <v>31</v>
      </c>
      <c r="O16" s="17"/>
      <c r="P16" s="59"/>
    </row>
    <row r="17" spans="1:16" s="70" customFormat="1" ht="15.6">
      <c r="A17" s="178" t="s">
        <v>5</v>
      </c>
      <c r="B17" s="178" t="s">
        <v>1369</v>
      </c>
      <c r="C17" s="178"/>
      <c r="D17" s="69"/>
      <c r="E17" s="144"/>
      <c r="F17" s="144"/>
      <c r="G17" s="144"/>
      <c r="H17" s="144"/>
      <c r="I17" s="144"/>
      <c r="J17" s="144"/>
      <c r="K17" s="144"/>
      <c r="L17" s="144"/>
      <c r="M17" s="144"/>
      <c r="N17" s="144"/>
      <c r="O17" s="144"/>
      <c r="P17" s="144"/>
    </row>
    <row r="18" spans="1:16">
      <c r="A18" s="59" t="s">
        <v>7</v>
      </c>
      <c r="B18" s="59" t="s">
        <v>1362</v>
      </c>
      <c r="C18" s="59"/>
      <c r="D18" s="59"/>
      <c r="E18" s="59"/>
      <c r="F18" s="59"/>
      <c r="G18" s="59"/>
      <c r="H18" s="59"/>
      <c r="I18" s="59"/>
      <c r="J18" s="59"/>
      <c r="K18" s="59"/>
      <c r="L18" s="59"/>
      <c r="M18" s="59"/>
      <c r="N18" s="59"/>
      <c r="O18" s="59"/>
      <c r="P18" s="59"/>
    </row>
    <row r="19" spans="1:16">
      <c r="A19" s="59" t="s">
        <v>9</v>
      </c>
      <c r="B19" s="186" t="s">
        <v>1370</v>
      </c>
      <c r="C19" s="59"/>
      <c r="D19" s="59"/>
      <c r="E19" s="59"/>
      <c r="F19" s="59"/>
      <c r="G19" s="59"/>
      <c r="H19" s="59"/>
      <c r="I19" s="59"/>
      <c r="J19" s="59"/>
      <c r="K19" s="59"/>
      <c r="L19" s="59"/>
      <c r="M19" s="59"/>
      <c r="N19" s="59"/>
      <c r="O19" s="59"/>
      <c r="P19" s="59"/>
    </row>
    <row r="20" spans="1:16">
      <c r="A20" s="59" t="s">
        <v>11</v>
      </c>
      <c r="B20" s="59" t="s">
        <v>1364</v>
      </c>
      <c r="C20" s="59"/>
      <c r="D20" s="59"/>
      <c r="E20" s="59"/>
      <c r="F20" s="59"/>
      <c r="G20" s="59"/>
      <c r="H20" s="59"/>
      <c r="I20" s="59"/>
      <c r="J20" s="59"/>
      <c r="K20" s="59"/>
      <c r="L20" s="59"/>
      <c r="M20" s="59"/>
      <c r="N20" s="59"/>
      <c r="O20" s="59"/>
      <c r="P20" s="59"/>
    </row>
    <row r="21" spans="1:16">
      <c r="A21" s="59" t="s">
        <v>13</v>
      </c>
      <c r="B21" s="59" t="s">
        <v>59</v>
      </c>
      <c r="C21" s="59"/>
      <c r="D21" s="59"/>
      <c r="E21" s="59"/>
      <c r="F21" s="59"/>
      <c r="G21" s="59"/>
      <c r="H21" s="59"/>
      <c r="I21" s="59"/>
      <c r="J21" s="59"/>
      <c r="K21" s="59"/>
      <c r="L21" s="59"/>
      <c r="M21" s="59"/>
      <c r="N21" s="59"/>
      <c r="O21" s="59"/>
      <c r="P21" s="59"/>
    </row>
    <row r="22" spans="1:16">
      <c r="A22" s="59" t="s">
        <v>15</v>
      </c>
      <c r="B22" s="59">
        <v>1</v>
      </c>
      <c r="C22" s="59"/>
      <c r="D22" s="59"/>
      <c r="E22" s="59"/>
      <c r="F22" s="59"/>
      <c r="G22" s="59"/>
      <c r="H22" s="59"/>
      <c r="I22" s="59"/>
      <c r="J22" s="59"/>
      <c r="K22" s="59"/>
      <c r="L22" s="59"/>
      <c r="M22" s="59"/>
      <c r="N22" s="59"/>
      <c r="O22" s="59"/>
      <c r="P22" s="59"/>
    </row>
    <row r="23" spans="1:16">
      <c r="A23" s="59" t="s">
        <v>16</v>
      </c>
      <c r="B23" s="59" t="s">
        <v>17</v>
      </c>
      <c r="C23" s="59"/>
      <c r="D23" s="59"/>
      <c r="E23" s="59"/>
      <c r="F23" s="59"/>
      <c r="G23" s="59"/>
      <c r="H23" s="59"/>
      <c r="I23" s="59"/>
      <c r="J23" s="59"/>
      <c r="K23" s="59"/>
      <c r="L23" s="59"/>
      <c r="M23" s="59"/>
      <c r="N23" s="59"/>
      <c r="O23" s="59"/>
      <c r="P23" s="59"/>
    </row>
    <row r="24" spans="1:16" ht="15.6">
      <c r="A24" s="59" t="s">
        <v>18</v>
      </c>
      <c r="B24" s="180" t="s">
        <v>37</v>
      </c>
      <c r="C24" s="59"/>
      <c r="D24" s="59"/>
      <c r="E24" s="59" t="s">
        <v>235</v>
      </c>
      <c r="F24" s="59"/>
      <c r="G24" s="59"/>
      <c r="H24" s="59"/>
      <c r="I24" s="59"/>
      <c r="J24" s="59"/>
      <c r="K24" s="59"/>
      <c r="L24" s="59"/>
      <c r="M24" s="59"/>
      <c r="N24" s="59"/>
      <c r="O24" s="59"/>
      <c r="P24" s="59"/>
    </row>
    <row r="25" spans="1:16" ht="15.6">
      <c r="A25" s="181" t="s">
        <v>19</v>
      </c>
      <c r="B25" s="59"/>
      <c r="C25" s="59"/>
      <c r="D25" s="59"/>
      <c r="E25" s="59"/>
      <c r="F25" s="59"/>
      <c r="G25" s="59"/>
      <c r="H25" s="59"/>
      <c r="I25" s="59"/>
      <c r="J25" s="59"/>
      <c r="K25" s="59"/>
      <c r="L25" s="59"/>
      <c r="M25" s="59"/>
      <c r="N25" s="59"/>
      <c r="O25" s="59"/>
      <c r="P25" s="59"/>
    </row>
    <row r="26" spans="1:16" ht="15.6">
      <c r="A26" s="181" t="s">
        <v>20</v>
      </c>
      <c r="B26" s="181" t="s">
        <v>21</v>
      </c>
      <c r="C26" s="181" t="s">
        <v>217</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702</v>
      </c>
    </row>
    <row r="27" spans="1:16" ht="15.6">
      <c r="A27" s="180" t="str">
        <f>B17</f>
        <v>treatment of copper, H2 plant construction EoL, PEMFC-bat</v>
      </c>
      <c r="B27" s="180">
        <v>1</v>
      </c>
      <c r="C27" s="180"/>
      <c r="D27" s="180" t="s">
        <v>37</v>
      </c>
      <c r="E27" s="59" t="s">
        <v>2</v>
      </c>
      <c r="F27" s="59" t="s">
        <v>1365</v>
      </c>
      <c r="G27" s="180" t="s">
        <v>59</v>
      </c>
      <c r="H27" s="59" t="s">
        <v>30</v>
      </c>
      <c r="I27" s="59">
        <v>0</v>
      </c>
      <c r="J27" s="180" t="s">
        <v>31</v>
      </c>
      <c r="K27" s="180" t="s">
        <v>31</v>
      </c>
      <c r="L27" s="180" t="s">
        <v>31</v>
      </c>
      <c r="M27" s="180" t="s">
        <v>31</v>
      </c>
      <c r="N27" s="180" t="s">
        <v>31</v>
      </c>
      <c r="O27" s="180" t="s">
        <v>1371</v>
      </c>
      <c r="P27" s="59"/>
    </row>
    <row r="28" spans="1:16" ht="15.6">
      <c r="A28" t="s">
        <v>442</v>
      </c>
      <c r="B28" s="212">
        <f>B27</f>
        <v>1</v>
      </c>
      <c r="C28" t="s">
        <v>443</v>
      </c>
      <c r="D28" t="s">
        <v>37</v>
      </c>
      <c r="E28" s="188" t="s">
        <v>40</v>
      </c>
      <c r="F28" s="59" t="s">
        <v>1365</v>
      </c>
      <c r="G28" t="s">
        <v>82</v>
      </c>
      <c r="H28" t="s">
        <v>33</v>
      </c>
      <c r="I28" s="59">
        <v>0</v>
      </c>
      <c r="J28" s="180" t="s">
        <v>31</v>
      </c>
      <c r="K28" s="180" t="s">
        <v>31</v>
      </c>
      <c r="L28" s="180" t="s">
        <v>31</v>
      </c>
      <c r="M28" s="180" t="s">
        <v>31</v>
      </c>
      <c r="N28" s="180" t="s">
        <v>31</v>
      </c>
    </row>
    <row r="29" spans="1:16" ht="15.6">
      <c r="A29" t="s">
        <v>1372</v>
      </c>
      <c r="B29">
        <f>0.9*B28</f>
        <v>0.9</v>
      </c>
      <c r="D29" t="s">
        <v>37</v>
      </c>
      <c r="E29" s="188" t="s">
        <v>40</v>
      </c>
      <c r="F29" s="59" t="s">
        <v>1365</v>
      </c>
      <c r="G29" t="s">
        <v>59</v>
      </c>
      <c r="H29" t="s">
        <v>136</v>
      </c>
      <c r="I29" s="59">
        <v>0</v>
      </c>
      <c r="J29" s="180" t="s">
        <v>31</v>
      </c>
      <c r="K29" s="180" t="s">
        <v>31</v>
      </c>
      <c r="L29" s="180" t="s">
        <v>31</v>
      </c>
      <c r="M29" s="180" t="s">
        <v>31</v>
      </c>
      <c r="N29" s="180" t="s">
        <v>31</v>
      </c>
      <c r="O29" s="59" t="s">
        <v>1373</v>
      </c>
    </row>
    <row r="30" spans="1:16" ht="15.6">
      <c r="A30" t="s">
        <v>403</v>
      </c>
      <c r="B30" s="23">
        <f>-(1-B29)</f>
        <v>-9.9999999999999978E-2</v>
      </c>
      <c r="D30" t="s">
        <v>37</v>
      </c>
      <c r="E30" s="88" t="s">
        <v>40</v>
      </c>
      <c r="F30" s="59" t="s">
        <v>1365</v>
      </c>
      <c r="G30" t="s">
        <v>59</v>
      </c>
      <c r="H30" t="s">
        <v>33</v>
      </c>
      <c r="I30">
        <v>0</v>
      </c>
      <c r="J30" t="s">
        <v>31</v>
      </c>
      <c r="K30" t="s">
        <v>31</v>
      </c>
      <c r="L30" t="s">
        <v>31</v>
      </c>
      <c r="M30" t="s">
        <v>31</v>
      </c>
      <c r="N30" t="s">
        <v>31</v>
      </c>
      <c r="O30" s="17"/>
      <c r="P30" s="59"/>
    </row>
    <row r="31" spans="1:16" s="70" customFormat="1" ht="15.6">
      <c r="A31" s="178" t="s">
        <v>5</v>
      </c>
      <c r="B31" s="178" t="s">
        <v>1374</v>
      </c>
      <c r="C31" s="178"/>
      <c r="D31" s="69"/>
      <c r="E31" s="144"/>
      <c r="F31" s="144"/>
      <c r="G31" s="144"/>
      <c r="H31" s="144"/>
      <c r="I31" s="144"/>
      <c r="J31" s="144"/>
      <c r="K31" s="144"/>
      <c r="L31" s="144"/>
      <c r="M31" s="144"/>
      <c r="N31" s="144"/>
      <c r="O31" s="144"/>
      <c r="P31" s="144"/>
    </row>
    <row r="32" spans="1:16">
      <c r="A32" s="59" t="s">
        <v>7</v>
      </c>
      <c r="B32" s="59" t="s">
        <v>1362</v>
      </c>
      <c r="C32" s="59"/>
      <c r="D32" s="59"/>
      <c r="E32" s="59"/>
      <c r="F32" s="59"/>
      <c r="G32" s="59"/>
      <c r="H32" s="59"/>
      <c r="I32" s="59"/>
      <c r="J32" s="59"/>
      <c r="K32" s="59"/>
      <c r="L32" s="59"/>
      <c r="M32" s="59"/>
      <c r="N32" s="59"/>
      <c r="O32" s="59"/>
      <c r="P32" s="59"/>
    </row>
    <row r="33" spans="1:16">
      <c r="A33" s="59" t="s">
        <v>9</v>
      </c>
      <c r="B33" s="186" t="s">
        <v>1375</v>
      </c>
      <c r="C33" s="59"/>
      <c r="D33" s="59"/>
      <c r="E33" s="59"/>
      <c r="F33" s="59"/>
      <c r="G33" s="59"/>
      <c r="H33" s="59"/>
      <c r="I33" s="59"/>
      <c r="J33" s="59"/>
      <c r="K33" s="59"/>
      <c r="L33" s="59"/>
      <c r="M33" s="59"/>
      <c r="N33" s="59"/>
      <c r="O33" s="59"/>
      <c r="P33" s="59"/>
    </row>
    <row r="34" spans="1:16">
      <c r="A34" s="59" t="s">
        <v>11</v>
      </c>
      <c r="B34" s="59" t="s">
        <v>1364</v>
      </c>
      <c r="C34" s="59"/>
      <c r="D34" s="59"/>
      <c r="E34" s="59"/>
      <c r="F34" s="59"/>
      <c r="G34" s="59"/>
      <c r="H34" s="59"/>
      <c r="I34" s="59"/>
      <c r="J34" s="59"/>
      <c r="K34" s="59"/>
      <c r="L34" s="59"/>
      <c r="M34" s="59"/>
      <c r="N34" s="59"/>
      <c r="O34" s="59"/>
      <c r="P34" s="59"/>
    </row>
    <row r="35" spans="1:16">
      <c r="A35" s="59" t="s">
        <v>13</v>
      </c>
      <c r="B35" s="59" t="s">
        <v>59</v>
      </c>
      <c r="C35" s="59"/>
      <c r="D35" s="59"/>
      <c r="E35" s="59"/>
      <c r="F35" s="59"/>
      <c r="G35" s="59"/>
      <c r="H35" s="59"/>
      <c r="I35" s="59"/>
      <c r="J35" s="59"/>
      <c r="K35" s="59"/>
      <c r="L35" s="59"/>
      <c r="M35" s="59"/>
      <c r="N35" s="59"/>
      <c r="O35" s="59"/>
      <c r="P35" s="59"/>
    </row>
    <row r="36" spans="1:16">
      <c r="A36" s="59" t="s">
        <v>15</v>
      </c>
      <c r="B36" s="59">
        <v>1</v>
      </c>
      <c r="C36" s="59"/>
      <c r="D36" s="59"/>
      <c r="E36" s="59"/>
      <c r="F36" s="59"/>
      <c r="G36" s="59"/>
      <c r="H36" s="59"/>
      <c r="I36" s="59"/>
      <c r="J36" s="59"/>
      <c r="K36" s="59"/>
      <c r="L36" s="59"/>
      <c r="M36" s="59"/>
      <c r="N36" s="59"/>
      <c r="O36" s="59"/>
      <c r="P36" s="59"/>
    </row>
    <row r="37" spans="1:16">
      <c r="A37" s="59" t="s">
        <v>16</v>
      </c>
      <c r="B37" s="59" t="s">
        <v>17</v>
      </c>
      <c r="C37" s="59"/>
      <c r="D37" s="59"/>
      <c r="E37" s="59"/>
      <c r="F37" s="59"/>
      <c r="G37" s="59"/>
      <c r="H37" s="59"/>
      <c r="I37" s="59"/>
      <c r="J37" s="59"/>
      <c r="K37" s="59"/>
      <c r="L37" s="59"/>
      <c r="M37" s="59"/>
      <c r="N37" s="59"/>
      <c r="O37" s="59"/>
      <c r="P37" s="59"/>
    </row>
    <row r="38" spans="1:16" ht="15.6">
      <c r="A38" s="59" t="s">
        <v>18</v>
      </c>
      <c r="B38" s="180" t="s">
        <v>37</v>
      </c>
      <c r="C38" s="59"/>
      <c r="D38" s="59"/>
      <c r="E38" s="59" t="s">
        <v>235</v>
      </c>
      <c r="F38" s="59"/>
      <c r="G38" s="59"/>
      <c r="H38" s="59"/>
      <c r="I38" s="59"/>
      <c r="J38" s="59"/>
      <c r="K38" s="59"/>
      <c r="L38" s="59"/>
      <c r="M38" s="59"/>
      <c r="N38" s="59"/>
      <c r="O38" s="59"/>
      <c r="P38" s="59"/>
    </row>
    <row r="39" spans="1:16" ht="15.6">
      <c r="A39" s="181" t="s">
        <v>19</v>
      </c>
      <c r="B39" s="59"/>
      <c r="C39" s="59"/>
      <c r="D39" s="59"/>
      <c r="E39" s="59"/>
      <c r="F39" s="59"/>
      <c r="G39" s="59"/>
      <c r="H39" s="59"/>
      <c r="I39" s="59"/>
      <c r="J39" s="59"/>
      <c r="K39" s="59"/>
      <c r="L39" s="59"/>
      <c r="M39" s="59"/>
      <c r="N39" s="59"/>
      <c r="O39" s="59"/>
      <c r="P39" s="59"/>
    </row>
    <row r="40" spans="1:16" ht="15.6">
      <c r="A40" s="181" t="s">
        <v>20</v>
      </c>
      <c r="B40" s="181" t="s">
        <v>21</v>
      </c>
      <c r="C40" s="181" t="s">
        <v>217</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702</v>
      </c>
    </row>
    <row r="41" spans="1:16" ht="15.6">
      <c r="A41" s="180" t="str">
        <f>B31</f>
        <v>treatment of steel, H2 plant construction EoL, PEMFC-bat</v>
      </c>
      <c r="B41" s="180">
        <v>1</v>
      </c>
      <c r="C41" s="180"/>
      <c r="D41" s="180" t="s">
        <v>37</v>
      </c>
      <c r="E41" s="59" t="s">
        <v>2</v>
      </c>
      <c r="F41" s="59" t="s">
        <v>1365</v>
      </c>
      <c r="G41" s="180" t="s">
        <v>59</v>
      </c>
      <c r="H41" s="59" t="s">
        <v>30</v>
      </c>
      <c r="I41" s="59">
        <v>0</v>
      </c>
      <c r="J41" s="180" t="s">
        <v>31</v>
      </c>
      <c r="K41" s="180" t="s">
        <v>31</v>
      </c>
      <c r="L41" s="180" t="s">
        <v>31</v>
      </c>
      <c r="M41" s="180" t="s">
        <v>31</v>
      </c>
      <c r="N41" s="180" t="s">
        <v>31</v>
      </c>
      <c r="O41" s="180" t="s">
        <v>1376</v>
      </c>
      <c r="P41" s="59"/>
    </row>
    <row r="42" spans="1:16" ht="15.6">
      <c r="A42" t="s">
        <v>135</v>
      </c>
      <c r="B42" s="23">
        <v>0.85</v>
      </c>
      <c r="C42" s="180"/>
      <c r="D42" s="180" t="s">
        <v>37</v>
      </c>
      <c r="E42" s="88" t="s">
        <v>40</v>
      </c>
      <c r="F42" s="59" t="s">
        <v>1365</v>
      </c>
      <c r="G42" s="180" t="s">
        <v>82</v>
      </c>
      <c r="H42" s="59" t="s">
        <v>33</v>
      </c>
      <c r="I42" s="59">
        <v>0</v>
      </c>
      <c r="J42" s="180" t="s">
        <v>31</v>
      </c>
      <c r="K42" s="180" t="s">
        <v>31</v>
      </c>
      <c r="L42" s="180" t="s">
        <v>31</v>
      </c>
      <c r="M42" s="180" t="s">
        <v>31</v>
      </c>
      <c r="N42" s="180" t="s">
        <v>31</v>
      </c>
      <c r="O42" s="59"/>
      <c r="P42" s="59"/>
    </row>
    <row r="43" spans="1:16" ht="15.6">
      <c r="A43" t="s">
        <v>703</v>
      </c>
      <c r="B43" s="23">
        <f>0.9*B42</f>
        <v>0.76500000000000001</v>
      </c>
      <c r="C43" s="180"/>
      <c r="D43" s="180" t="s">
        <v>37</v>
      </c>
      <c r="E43" s="88" t="s">
        <v>40</v>
      </c>
      <c r="F43" s="59" t="s">
        <v>1365</v>
      </c>
      <c r="G43" s="180" t="s">
        <v>59</v>
      </c>
      <c r="H43" s="59" t="s">
        <v>136</v>
      </c>
      <c r="I43" s="59">
        <v>0</v>
      </c>
      <c r="J43" s="180" t="s">
        <v>31</v>
      </c>
      <c r="K43" s="180" t="s">
        <v>31</v>
      </c>
      <c r="L43" s="180" t="s">
        <v>31</v>
      </c>
      <c r="M43" s="180" t="s">
        <v>31</v>
      </c>
      <c r="N43" s="180" t="s">
        <v>31</v>
      </c>
      <c r="O43" s="59"/>
      <c r="P43" s="59" t="s">
        <v>1373</v>
      </c>
    </row>
    <row r="44" spans="1:16" ht="16.5" customHeight="1">
      <c r="A44" t="s">
        <v>403</v>
      </c>
      <c r="B44" s="23">
        <f>-(1-B43)</f>
        <v>-0.23499999999999999</v>
      </c>
      <c r="D44" t="s">
        <v>37</v>
      </c>
      <c r="E44" s="88" t="s">
        <v>40</v>
      </c>
      <c r="F44" s="59" t="s">
        <v>1365</v>
      </c>
      <c r="G44" t="s">
        <v>59</v>
      </c>
      <c r="H44" t="s">
        <v>33</v>
      </c>
      <c r="I44">
        <v>0</v>
      </c>
      <c r="J44" t="s">
        <v>31</v>
      </c>
      <c r="K44" t="s">
        <v>31</v>
      </c>
      <c r="L44" t="s">
        <v>31</v>
      </c>
      <c r="M44" t="s">
        <v>31</v>
      </c>
      <c r="N44" t="s">
        <v>31</v>
      </c>
      <c r="O44" s="17"/>
      <c r="P44" s="59" t="s">
        <v>1377</v>
      </c>
    </row>
    <row r="45" spans="1:16" s="70" customFormat="1" ht="15.6">
      <c r="A45" s="178" t="s">
        <v>5</v>
      </c>
      <c r="B45" s="178" t="s">
        <v>1378</v>
      </c>
      <c r="C45" s="178"/>
      <c r="D45" s="69"/>
      <c r="E45" s="144"/>
      <c r="F45" s="144"/>
      <c r="G45" s="144"/>
      <c r="H45" s="144"/>
      <c r="I45" s="144"/>
      <c r="J45" s="144"/>
      <c r="K45" s="144"/>
      <c r="L45" s="144"/>
      <c r="M45" s="144"/>
      <c r="N45" s="144"/>
      <c r="O45" s="144"/>
      <c r="P45" s="144"/>
    </row>
    <row r="46" spans="1:16">
      <c r="A46" s="59" t="s">
        <v>7</v>
      </c>
      <c r="B46" s="59" t="s">
        <v>1362</v>
      </c>
      <c r="C46" s="59"/>
      <c r="D46" s="59"/>
      <c r="E46" s="59"/>
      <c r="F46" s="59"/>
      <c r="G46" s="59"/>
      <c r="H46" s="59"/>
      <c r="I46" s="59"/>
      <c r="J46" s="59"/>
      <c r="K46" s="59"/>
      <c r="L46" s="59"/>
      <c r="M46" s="59"/>
      <c r="N46" s="59"/>
      <c r="O46" s="59"/>
      <c r="P46" s="59"/>
    </row>
    <row r="47" spans="1:16">
      <c r="A47" s="59" t="s">
        <v>9</v>
      </c>
      <c r="B47" s="186" t="s">
        <v>1379</v>
      </c>
      <c r="C47" s="59"/>
      <c r="D47" s="59"/>
      <c r="E47" s="59"/>
      <c r="F47" s="59"/>
      <c r="G47" s="59"/>
      <c r="H47" s="59"/>
      <c r="I47" s="59"/>
      <c r="J47" s="59"/>
      <c r="K47" s="59"/>
      <c r="L47" s="59"/>
      <c r="M47" s="59"/>
      <c r="N47" s="59"/>
      <c r="O47" s="59"/>
      <c r="P47" s="59"/>
    </row>
    <row r="48" spans="1:16">
      <c r="A48" s="59" t="s">
        <v>11</v>
      </c>
      <c r="B48" s="59" t="s">
        <v>1380</v>
      </c>
      <c r="C48" s="59"/>
      <c r="D48" s="59"/>
      <c r="E48" s="59"/>
      <c r="F48" s="59"/>
      <c r="G48" s="59"/>
      <c r="H48" s="59"/>
      <c r="I48" s="59"/>
      <c r="J48" s="59"/>
      <c r="K48" s="59"/>
      <c r="L48" s="59"/>
      <c r="M48" s="59"/>
      <c r="N48" s="59"/>
      <c r="O48" s="59"/>
      <c r="P48" s="59"/>
    </row>
    <row r="49" spans="1:16">
      <c r="A49" s="59" t="s">
        <v>13</v>
      </c>
      <c r="B49" s="59" t="s">
        <v>59</v>
      </c>
      <c r="C49" s="59"/>
      <c r="D49" s="59"/>
      <c r="E49" s="59"/>
      <c r="F49" s="59"/>
      <c r="G49" s="59"/>
      <c r="H49" s="59"/>
      <c r="I49" s="59"/>
      <c r="J49" s="59"/>
      <c r="K49" s="59"/>
      <c r="L49" s="59"/>
      <c r="M49" s="59"/>
      <c r="N49" s="59"/>
      <c r="O49" s="59"/>
      <c r="P49" s="59"/>
    </row>
    <row r="50" spans="1:16">
      <c r="A50" s="59" t="s">
        <v>15</v>
      </c>
      <c r="B50" s="59">
        <v>1</v>
      </c>
      <c r="C50" s="59"/>
      <c r="D50" s="59"/>
      <c r="E50" s="59"/>
      <c r="F50" s="59"/>
      <c r="G50" s="59"/>
      <c r="H50" s="59"/>
      <c r="I50" s="59"/>
      <c r="J50" s="59"/>
      <c r="K50" s="59"/>
      <c r="L50" s="59"/>
      <c r="M50" s="59"/>
      <c r="N50" s="59"/>
      <c r="O50" s="59"/>
      <c r="P50" s="59"/>
    </row>
    <row r="51" spans="1:16">
      <c r="A51" s="59" t="s">
        <v>16</v>
      </c>
      <c r="B51" s="59" t="s">
        <v>17</v>
      </c>
      <c r="C51" s="59"/>
      <c r="D51" s="59"/>
      <c r="E51" s="59"/>
      <c r="F51" s="59"/>
      <c r="G51" s="59"/>
      <c r="H51" s="59"/>
      <c r="I51" s="59"/>
      <c r="J51" s="59"/>
      <c r="K51" s="59"/>
      <c r="L51" s="59"/>
      <c r="M51" s="59"/>
      <c r="N51" s="59"/>
      <c r="O51" s="59"/>
      <c r="P51" s="59"/>
    </row>
    <row r="52" spans="1:16" ht="15.6">
      <c r="A52" s="59" t="s">
        <v>18</v>
      </c>
      <c r="B52" s="180" t="s">
        <v>37</v>
      </c>
      <c r="C52" s="59"/>
      <c r="D52" s="59"/>
      <c r="E52" s="59" t="s">
        <v>235</v>
      </c>
      <c r="F52" s="59"/>
      <c r="G52" s="59"/>
      <c r="H52" s="59"/>
      <c r="I52" s="59"/>
      <c r="J52" s="59"/>
      <c r="K52" s="59"/>
      <c r="L52" s="59"/>
      <c r="M52" s="59"/>
      <c r="N52" s="59"/>
      <c r="O52" s="59"/>
      <c r="P52" s="59"/>
    </row>
    <row r="53" spans="1:16" ht="15.6">
      <c r="A53" s="181" t="s">
        <v>19</v>
      </c>
      <c r="B53" s="59"/>
      <c r="C53" s="59"/>
      <c r="D53" s="59"/>
      <c r="E53" s="59"/>
      <c r="F53" s="59"/>
      <c r="G53" s="59"/>
      <c r="H53" s="59"/>
      <c r="I53" s="59"/>
      <c r="J53" s="59"/>
      <c r="K53" s="59"/>
      <c r="L53" s="59"/>
      <c r="M53" s="59"/>
      <c r="N53" s="59"/>
      <c r="O53" s="59"/>
      <c r="P53" s="59"/>
    </row>
    <row r="54" spans="1:16" ht="15.6">
      <c r="A54" s="181" t="s">
        <v>20</v>
      </c>
      <c r="B54" s="181" t="s">
        <v>21</v>
      </c>
      <c r="C54" s="181" t="s">
        <v>217</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702</v>
      </c>
    </row>
    <row r="55" spans="1:16" ht="15.6">
      <c r="A55" s="180" t="str">
        <f>B45</f>
        <v>treatment of composites, H2 plant construction EoL, PEMFC-bat</v>
      </c>
      <c r="B55" s="180">
        <v>1</v>
      </c>
      <c r="C55" s="180"/>
      <c r="D55" s="180" t="s">
        <v>37</v>
      </c>
      <c r="E55" s="59" t="s">
        <v>2</v>
      </c>
      <c r="F55" s="59" t="s">
        <v>1365</v>
      </c>
      <c r="G55" s="180" t="s">
        <v>59</v>
      </c>
      <c r="H55" s="59" t="s">
        <v>30</v>
      </c>
      <c r="I55" s="59">
        <v>0</v>
      </c>
      <c r="J55" s="180" t="s">
        <v>31</v>
      </c>
      <c r="K55" s="180" t="s">
        <v>31</v>
      </c>
      <c r="L55" s="180" t="s">
        <v>31</v>
      </c>
      <c r="M55" s="180" t="s">
        <v>31</v>
      </c>
      <c r="N55" s="180" t="s">
        <v>31</v>
      </c>
      <c r="O55" s="180" t="s">
        <v>1381</v>
      </c>
      <c r="P55" s="59"/>
    </row>
    <row r="56" spans="1:16" ht="15.6">
      <c r="A56" s="88" t="s">
        <v>1382</v>
      </c>
      <c r="B56">
        <v>-1</v>
      </c>
      <c r="D56" s="180" t="s">
        <v>37</v>
      </c>
      <c r="E56" s="88" t="s">
        <v>40</v>
      </c>
      <c r="F56" s="59" t="s">
        <v>1365</v>
      </c>
      <c r="G56" t="s">
        <v>82</v>
      </c>
      <c r="H56" t="s">
        <v>33</v>
      </c>
      <c r="I56">
        <v>0</v>
      </c>
      <c r="J56" t="s">
        <v>31</v>
      </c>
      <c r="K56" t="s">
        <v>31</v>
      </c>
      <c r="L56" t="s">
        <v>31</v>
      </c>
      <c r="M56" t="s">
        <v>31</v>
      </c>
      <c r="N56" t="s">
        <v>31</v>
      </c>
    </row>
    <row r="57" spans="1:16" s="70" customFormat="1" ht="15.6">
      <c r="A57" s="178" t="s">
        <v>5</v>
      </c>
      <c r="B57" s="178" t="s">
        <v>1383</v>
      </c>
      <c r="C57" s="178"/>
      <c r="D57" s="69"/>
      <c r="E57" s="144"/>
      <c r="F57" s="144"/>
      <c r="G57" s="144"/>
      <c r="H57" s="144"/>
      <c r="I57" s="144"/>
      <c r="J57" s="144"/>
      <c r="K57" s="144"/>
      <c r="L57" s="144"/>
      <c r="M57" s="144"/>
      <c r="N57" s="144"/>
      <c r="O57" s="144"/>
      <c r="P57" s="144"/>
    </row>
    <row r="58" spans="1:16">
      <c r="A58" s="59" t="s">
        <v>7</v>
      </c>
      <c r="B58" s="59" t="s">
        <v>1362</v>
      </c>
      <c r="C58" s="59"/>
      <c r="D58" s="59"/>
      <c r="E58" s="59"/>
      <c r="F58" s="59"/>
      <c r="G58" s="59"/>
      <c r="H58" s="59"/>
      <c r="I58" s="59"/>
      <c r="J58" s="59"/>
      <c r="K58" s="59"/>
      <c r="L58" s="59"/>
      <c r="M58" s="59"/>
      <c r="N58" s="59"/>
      <c r="O58" s="59"/>
      <c r="P58" s="59"/>
    </row>
    <row r="59" spans="1:16">
      <c r="A59" s="59" t="s">
        <v>9</v>
      </c>
      <c r="B59" s="186" t="s">
        <v>1384</v>
      </c>
      <c r="C59" s="59"/>
      <c r="D59" s="59"/>
      <c r="E59" s="59"/>
      <c r="F59" s="59"/>
      <c r="G59" s="59"/>
      <c r="H59" s="59"/>
      <c r="I59" s="59"/>
      <c r="J59" s="59"/>
      <c r="K59" s="59"/>
      <c r="L59" s="59"/>
      <c r="M59" s="59"/>
      <c r="N59" s="59"/>
      <c r="O59" s="59"/>
      <c r="P59" s="59"/>
    </row>
    <row r="60" spans="1:16">
      <c r="A60" s="59" t="s">
        <v>11</v>
      </c>
      <c r="B60" s="59" t="s">
        <v>1380</v>
      </c>
      <c r="C60" s="59"/>
      <c r="D60" s="59"/>
      <c r="E60" s="59"/>
      <c r="F60" s="59"/>
      <c r="G60" s="59"/>
      <c r="H60" s="59"/>
      <c r="I60" s="59"/>
      <c r="J60" s="59"/>
      <c r="K60" s="59"/>
      <c r="L60" s="59"/>
      <c r="M60" s="59"/>
      <c r="N60" s="59"/>
      <c r="O60" s="59"/>
      <c r="P60" s="59"/>
    </row>
    <row r="61" spans="1:16">
      <c r="A61" s="59" t="s">
        <v>13</v>
      </c>
      <c r="B61" s="59" t="s">
        <v>59</v>
      </c>
      <c r="C61" s="59"/>
      <c r="D61" s="59"/>
      <c r="E61" s="59"/>
      <c r="F61" s="59"/>
      <c r="G61" s="59"/>
      <c r="H61" s="59"/>
      <c r="I61" s="59"/>
      <c r="J61" s="59"/>
      <c r="K61" s="59"/>
      <c r="L61" s="59"/>
      <c r="M61" s="59"/>
      <c r="N61" s="59"/>
      <c r="O61" s="59"/>
      <c r="P61" s="59"/>
    </row>
    <row r="62" spans="1:16">
      <c r="A62" s="59" t="s">
        <v>15</v>
      </c>
      <c r="B62" s="59">
        <v>1</v>
      </c>
      <c r="C62" s="59"/>
      <c r="D62" s="59"/>
      <c r="E62" s="59"/>
      <c r="F62" s="59"/>
      <c r="G62" s="59"/>
      <c r="H62" s="59"/>
      <c r="I62" s="59"/>
      <c r="J62" s="59"/>
      <c r="K62" s="59"/>
      <c r="L62" s="59"/>
      <c r="M62" s="59"/>
      <c r="N62" s="59"/>
      <c r="O62" s="59"/>
      <c r="P62" s="59"/>
    </row>
    <row r="63" spans="1:16">
      <c r="A63" s="59" t="s">
        <v>16</v>
      </c>
      <c r="B63" s="59" t="s">
        <v>17</v>
      </c>
      <c r="C63" s="59"/>
      <c r="D63" s="59"/>
      <c r="E63" s="59"/>
      <c r="F63" s="59"/>
      <c r="G63" s="59"/>
      <c r="H63" s="59"/>
      <c r="I63" s="59"/>
      <c r="J63" s="59"/>
      <c r="K63" s="59"/>
      <c r="L63" s="59"/>
      <c r="M63" s="59"/>
      <c r="N63" s="59"/>
      <c r="O63" s="59"/>
      <c r="P63" s="59"/>
    </row>
    <row r="64" spans="1:16" ht="15.6">
      <c r="A64" s="59" t="s">
        <v>18</v>
      </c>
      <c r="B64" s="180" t="s">
        <v>37</v>
      </c>
      <c r="C64" s="59"/>
      <c r="D64" s="59"/>
      <c r="E64" s="59" t="s">
        <v>235</v>
      </c>
      <c r="F64" s="59"/>
      <c r="G64" s="59"/>
      <c r="H64" s="59"/>
      <c r="I64" s="59"/>
      <c r="J64" s="59"/>
      <c r="K64" s="59"/>
      <c r="L64" s="59"/>
      <c r="M64" s="59"/>
      <c r="N64" s="59"/>
      <c r="O64" s="59"/>
      <c r="P64" s="59"/>
    </row>
    <row r="65" spans="1:16" ht="15.6">
      <c r="A65" s="181" t="s">
        <v>19</v>
      </c>
      <c r="B65" s="59"/>
      <c r="C65" s="59"/>
      <c r="D65" s="59"/>
      <c r="E65" s="59"/>
      <c r="F65" s="59"/>
      <c r="G65" s="59"/>
      <c r="H65" s="59"/>
      <c r="I65" s="59"/>
      <c r="J65" s="59"/>
      <c r="K65" s="59"/>
      <c r="L65" s="59"/>
      <c r="M65" s="59"/>
      <c r="N65" s="59"/>
      <c r="O65" s="59"/>
      <c r="P65" s="59"/>
    </row>
    <row r="66" spans="1:16" ht="15.6">
      <c r="A66" s="181" t="s">
        <v>20</v>
      </c>
      <c r="B66" s="181" t="s">
        <v>21</v>
      </c>
      <c r="C66" s="181" t="s">
        <v>217</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702</v>
      </c>
    </row>
    <row r="67" spans="1:16" ht="15.6">
      <c r="A67" s="180" t="str">
        <f>B57</f>
        <v>treatment of graphite and resin, H2 plant construction EoL</v>
      </c>
      <c r="B67" s="180">
        <v>1</v>
      </c>
      <c r="C67" s="180"/>
      <c r="D67" s="180" t="s">
        <v>37</v>
      </c>
      <c r="E67" s="59" t="s">
        <v>2</v>
      </c>
      <c r="F67" s="59" t="s">
        <v>1365</v>
      </c>
      <c r="G67" s="180" t="s">
        <v>59</v>
      </c>
      <c r="H67" s="59" t="s">
        <v>30</v>
      </c>
      <c r="I67" s="59">
        <v>0</v>
      </c>
      <c r="J67" s="180" t="s">
        <v>31</v>
      </c>
      <c r="K67" s="180" t="s">
        <v>31</v>
      </c>
      <c r="L67" s="180" t="s">
        <v>31</v>
      </c>
      <c r="M67" s="180" t="s">
        <v>31</v>
      </c>
      <c r="N67" s="180" t="s">
        <v>31</v>
      </c>
      <c r="O67" s="180" t="s">
        <v>1385</v>
      </c>
      <c r="P67" s="59"/>
    </row>
    <row r="68" spans="1:16" ht="15.6">
      <c r="A68" s="88" t="s">
        <v>1386</v>
      </c>
      <c r="B68">
        <v>-1</v>
      </c>
      <c r="D68" s="180" t="s">
        <v>37</v>
      </c>
      <c r="E68" s="59" t="s">
        <v>2</v>
      </c>
      <c r="F68" s="59" t="s">
        <v>1365</v>
      </c>
      <c r="G68" s="180" t="s">
        <v>82</v>
      </c>
      <c r="H68" s="59" t="s">
        <v>33</v>
      </c>
      <c r="I68" s="59">
        <v>0</v>
      </c>
      <c r="J68" s="180" t="s">
        <v>31</v>
      </c>
      <c r="K68" s="180" t="s">
        <v>31</v>
      </c>
      <c r="L68" s="180" t="s">
        <v>31</v>
      </c>
      <c r="M68" s="180" t="s">
        <v>31</v>
      </c>
      <c r="N68" s="180" t="s">
        <v>31</v>
      </c>
    </row>
    <row r="69" spans="1:16" s="70" customFormat="1" ht="15.6">
      <c r="A69" s="178" t="s">
        <v>5</v>
      </c>
      <c r="B69" s="178" t="s">
        <v>1387</v>
      </c>
      <c r="C69" s="178"/>
      <c r="D69" s="69"/>
      <c r="E69" s="144"/>
      <c r="F69" s="144"/>
      <c r="G69" s="144"/>
      <c r="H69" s="144"/>
      <c r="I69" s="144"/>
      <c r="J69" s="144"/>
      <c r="K69" s="144"/>
      <c r="L69" s="144"/>
      <c r="M69" s="144"/>
      <c r="N69" s="144"/>
      <c r="O69" s="144"/>
      <c r="P69" s="144"/>
    </row>
    <row r="70" spans="1:16">
      <c r="A70" s="59" t="s">
        <v>7</v>
      </c>
      <c r="B70" s="59" t="s">
        <v>1362</v>
      </c>
      <c r="C70" s="59"/>
      <c r="D70" s="59"/>
      <c r="E70" s="59"/>
      <c r="F70" s="59"/>
      <c r="G70" s="59"/>
      <c r="H70" s="59"/>
      <c r="I70" s="59"/>
      <c r="J70" s="59"/>
      <c r="K70" s="59"/>
      <c r="L70" s="59"/>
      <c r="M70" s="59"/>
      <c r="N70" s="59"/>
      <c r="O70" s="59"/>
      <c r="P70" s="59"/>
    </row>
    <row r="71" spans="1:16">
      <c r="A71" s="59" t="s">
        <v>9</v>
      </c>
      <c r="B71" s="186" t="s">
        <v>1388</v>
      </c>
      <c r="C71" s="59"/>
      <c r="D71" s="59"/>
      <c r="E71" s="59"/>
      <c r="F71" s="59"/>
      <c r="G71" s="59"/>
      <c r="H71" s="59"/>
      <c r="I71" s="59"/>
      <c r="J71" s="59"/>
      <c r="K71" s="59"/>
      <c r="L71" s="59"/>
      <c r="M71" s="59"/>
      <c r="N71" s="59"/>
      <c r="O71" s="59"/>
      <c r="P71" s="59"/>
    </row>
    <row r="72" spans="1:16">
      <c r="A72" s="59" t="s">
        <v>11</v>
      </c>
      <c r="B72" s="59" t="s">
        <v>1380</v>
      </c>
      <c r="C72" s="59"/>
      <c r="D72" s="59"/>
      <c r="E72" s="59"/>
      <c r="F72" s="59"/>
      <c r="G72" s="59"/>
      <c r="H72" s="59"/>
      <c r="I72" s="59"/>
      <c r="J72" s="59"/>
      <c r="K72" s="59"/>
      <c r="L72" s="59"/>
      <c r="M72" s="59"/>
      <c r="N72" s="59"/>
      <c r="O72" s="59"/>
      <c r="P72" s="59"/>
    </row>
    <row r="73" spans="1:16">
      <c r="A73" s="59" t="s">
        <v>13</v>
      </c>
      <c r="B73" s="59" t="s">
        <v>59</v>
      </c>
      <c r="C73" s="59"/>
      <c r="D73" s="59"/>
      <c r="E73" s="59"/>
      <c r="F73" s="59"/>
      <c r="G73" s="59"/>
      <c r="H73" s="59"/>
      <c r="I73" s="59"/>
      <c r="J73" s="59"/>
      <c r="K73" s="59"/>
      <c r="L73" s="59"/>
      <c r="M73" s="59"/>
      <c r="N73" s="59"/>
      <c r="O73" s="59"/>
      <c r="P73" s="59"/>
    </row>
    <row r="74" spans="1:16">
      <c r="A74" s="59" t="s">
        <v>15</v>
      </c>
      <c r="B74" s="59">
        <v>1</v>
      </c>
      <c r="C74" s="59"/>
      <c r="D74" s="59"/>
      <c r="E74" s="59"/>
      <c r="F74" s="59"/>
      <c r="G74" s="59"/>
      <c r="H74" s="59"/>
      <c r="I74" s="59"/>
      <c r="J74" s="59"/>
      <c r="K74" s="59"/>
      <c r="L74" s="59"/>
      <c r="M74" s="59"/>
      <c r="N74" s="59"/>
      <c r="O74" s="59"/>
      <c r="P74" s="59"/>
    </row>
    <row r="75" spans="1:16">
      <c r="A75" s="59" t="s">
        <v>16</v>
      </c>
      <c r="B75" s="59" t="s">
        <v>17</v>
      </c>
      <c r="C75" s="59"/>
      <c r="D75" s="59"/>
      <c r="E75" s="59"/>
      <c r="F75" s="59"/>
      <c r="G75" s="59"/>
      <c r="H75" s="59"/>
      <c r="I75" s="59"/>
      <c r="J75" s="59"/>
      <c r="K75" s="59"/>
      <c r="L75" s="59"/>
      <c r="M75" s="59"/>
      <c r="N75" s="59"/>
      <c r="O75" s="59"/>
      <c r="P75" s="59"/>
    </row>
    <row r="76" spans="1:16" ht="15.6">
      <c r="A76" s="59" t="s">
        <v>18</v>
      </c>
      <c r="B76" s="180" t="s">
        <v>37</v>
      </c>
      <c r="C76" s="59"/>
      <c r="D76" s="59"/>
      <c r="E76" s="59" t="s">
        <v>235</v>
      </c>
      <c r="F76" s="59"/>
      <c r="G76" s="59"/>
      <c r="H76" s="59"/>
      <c r="I76" s="59"/>
      <c r="J76" s="59"/>
      <c r="K76" s="59"/>
      <c r="L76" s="59"/>
      <c r="M76" s="59"/>
      <c r="N76" s="59"/>
      <c r="O76" s="59"/>
      <c r="P76" s="59"/>
    </row>
    <row r="77" spans="1:16" ht="15.6">
      <c r="A77" s="181" t="s">
        <v>19</v>
      </c>
      <c r="B77" s="59"/>
      <c r="C77" s="59"/>
      <c r="D77" s="59"/>
      <c r="E77" s="59"/>
      <c r="F77" s="59"/>
      <c r="G77" s="59"/>
      <c r="H77" s="59"/>
      <c r="I77" s="59"/>
      <c r="J77" s="59"/>
      <c r="K77" s="59"/>
      <c r="L77" s="59"/>
      <c r="M77" s="59"/>
      <c r="N77" s="59"/>
      <c r="O77" s="59"/>
      <c r="P77" s="59"/>
    </row>
    <row r="78" spans="1:16" ht="15.6">
      <c r="A78" s="181" t="s">
        <v>20</v>
      </c>
      <c r="B78" s="181" t="s">
        <v>21</v>
      </c>
      <c r="C78" s="181" t="s">
        <v>217</v>
      </c>
      <c r="D78" s="181" t="s">
        <v>18</v>
      </c>
      <c r="E78" s="181" t="s">
        <v>22</v>
      </c>
      <c r="F78" s="181" t="s">
        <v>7</v>
      </c>
      <c r="G78" s="181" t="s">
        <v>13</v>
      </c>
      <c r="H78" s="181" t="s">
        <v>16</v>
      </c>
      <c r="I78" s="181" t="s">
        <v>23</v>
      </c>
      <c r="J78" s="181" t="s">
        <v>24</v>
      </c>
      <c r="K78" s="181" t="s">
        <v>25</v>
      </c>
      <c r="L78" s="181" t="s">
        <v>26</v>
      </c>
      <c r="M78" s="181" t="s">
        <v>27</v>
      </c>
      <c r="N78" s="181" t="s">
        <v>28</v>
      </c>
      <c r="O78" s="181" t="s">
        <v>11</v>
      </c>
      <c r="P78" s="181" t="s">
        <v>702</v>
      </c>
    </row>
    <row r="79" spans="1:16" ht="15.6">
      <c r="A79" s="180" t="str">
        <f>B69</f>
        <v>treatment of electronics, H2 plant construction EoL, PEMFC-bat</v>
      </c>
      <c r="B79" s="180">
        <v>1</v>
      </c>
      <c r="C79" s="180"/>
      <c r="D79" s="180" t="s">
        <v>37</v>
      </c>
      <c r="E79" s="59" t="s">
        <v>2</v>
      </c>
      <c r="F79" s="59" t="s">
        <v>1365</v>
      </c>
      <c r="G79" s="180" t="s">
        <v>59</v>
      </c>
      <c r="H79" s="59" t="s">
        <v>30</v>
      </c>
      <c r="I79" s="59">
        <v>0</v>
      </c>
      <c r="J79" s="180" t="s">
        <v>31</v>
      </c>
      <c r="K79" s="180" t="s">
        <v>31</v>
      </c>
      <c r="L79" s="180" t="s">
        <v>31</v>
      </c>
      <c r="M79" s="180" t="s">
        <v>31</v>
      </c>
      <c r="N79" s="180" t="s">
        <v>31</v>
      </c>
      <c r="O79" s="180" t="s">
        <v>1385</v>
      </c>
      <c r="P79" s="59"/>
    </row>
    <row r="80" spans="1:16" ht="15.6">
      <c r="A80" s="88" t="s">
        <v>395</v>
      </c>
      <c r="B80">
        <v>-1</v>
      </c>
      <c r="D80" s="180" t="s">
        <v>37</v>
      </c>
      <c r="E80" s="59" t="s">
        <v>2</v>
      </c>
      <c r="F80" s="59" t="s">
        <v>1365</v>
      </c>
      <c r="G80" s="180" t="s">
        <v>82</v>
      </c>
      <c r="H80" s="59" t="s">
        <v>33</v>
      </c>
      <c r="I80" s="59">
        <v>0</v>
      </c>
      <c r="J80" s="180" t="s">
        <v>31</v>
      </c>
      <c r="K80" s="180" t="s">
        <v>31</v>
      </c>
      <c r="L80" s="180" t="s">
        <v>31</v>
      </c>
      <c r="M80" s="180" t="s">
        <v>31</v>
      </c>
      <c r="N80" s="180" t="s">
        <v>31</v>
      </c>
    </row>
    <row r="81" spans="1:16" s="70" customFormat="1" ht="15.6">
      <c r="A81" s="178" t="s">
        <v>5</v>
      </c>
      <c r="B81" s="178" t="s">
        <v>1298</v>
      </c>
      <c r="C81" s="178"/>
      <c r="D81" s="69"/>
      <c r="E81" s="144"/>
      <c r="F81" s="144"/>
      <c r="G81" s="144"/>
      <c r="H81" s="144"/>
      <c r="I81" s="144"/>
      <c r="J81" s="144"/>
      <c r="K81" s="144"/>
      <c r="L81" s="144"/>
      <c r="M81" s="144"/>
      <c r="N81" s="144"/>
      <c r="O81" s="144"/>
      <c r="P81" s="144"/>
    </row>
    <row r="82" spans="1:16">
      <c r="A82" s="59" t="s">
        <v>7</v>
      </c>
      <c r="B82" s="59" t="s">
        <v>1362</v>
      </c>
      <c r="C82" s="59"/>
      <c r="D82" s="59"/>
      <c r="E82" s="59"/>
      <c r="F82" s="59"/>
      <c r="G82" s="59"/>
      <c r="H82" s="59"/>
      <c r="I82" s="59"/>
      <c r="J82" s="59"/>
      <c r="K82" s="59"/>
      <c r="L82" s="59"/>
      <c r="M82" s="59"/>
      <c r="N82" s="59"/>
      <c r="O82" s="59"/>
      <c r="P82" s="59"/>
    </row>
    <row r="83" spans="1:16">
      <c r="A83" s="59" t="s">
        <v>9</v>
      </c>
      <c r="B83" s="186" t="s">
        <v>1389</v>
      </c>
      <c r="C83" s="59"/>
      <c r="D83" s="59"/>
      <c r="E83" s="59"/>
      <c r="F83" s="59"/>
      <c r="G83" s="59"/>
      <c r="H83" s="59"/>
      <c r="I83" s="59"/>
      <c r="J83" s="59"/>
      <c r="K83" s="59"/>
      <c r="L83" s="59"/>
      <c r="M83" s="59"/>
      <c r="N83" s="59"/>
      <c r="O83" s="59"/>
      <c r="P83" s="59"/>
    </row>
    <row r="84" spans="1:16">
      <c r="A84" s="59" t="s">
        <v>11</v>
      </c>
      <c r="B84" s="59" t="s">
        <v>1380</v>
      </c>
      <c r="C84" s="59"/>
      <c r="D84" s="59"/>
      <c r="E84" s="59"/>
      <c r="F84" s="59"/>
      <c r="G84" s="59"/>
      <c r="H84" s="59"/>
      <c r="I84" s="59"/>
      <c r="J84" s="59"/>
      <c r="K84" s="59"/>
      <c r="L84" s="59"/>
      <c r="M84" s="59"/>
      <c r="N84" s="59"/>
      <c r="O84" s="59"/>
      <c r="P84" s="59"/>
    </row>
    <row r="85" spans="1:16">
      <c r="A85" s="59" t="s">
        <v>13</v>
      </c>
      <c r="B85" s="59" t="s">
        <v>59</v>
      </c>
      <c r="C85" s="59"/>
      <c r="D85" s="59"/>
      <c r="E85" s="59"/>
      <c r="F85" s="59"/>
      <c r="G85" s="59"/>
      <c r="H85" s="59"/>
      <c r="I85" s="59"/>
      <c r="J85" s="59"/>
      <c r="K85" s="59"/>
      <c r="L85" s="59"/>
      <c r="M85" s="59"/>
      <c r="N85" s="59"/>
      <c r="O85" s="59"/>
      <c r="P85" s="59"/>
    </row>
    <row r="86" spans="1:16">
      <c r="A86" s="59" t="s">
        <v>15</v>
      </c>
      <c r="B86" s="59">
        <v>1</v>
      </c>
      <c r="C86" s="59"/>
      <c r="D86" s="59"/>
      <c r="E86" s="59"/>
      <c r="F86" s="59"/>
      <c r="G86" s="59"/>
      <c r="H86" s="59"/>
      <c r="I86" s="59"/>
      <c r="J86" s="59"/>
      <c r="K86" s="59"/>
      <c r="L86" s="59"/>
      <c r="M86" s="59"/>
      <c r="N86" s="59"/>
      <c r="O86" s="59"/>
      <c r="P86" s="59"/>
    </row>
    <row r="87" spans="1:16">
      <c r="A87" s="59" t="s">
        <v>16</v>
      </c>
      <c r="B87" s="59" t="s">
        <v>17</v>
      </c>
      <c r="C87" s="59"/>
      <c r="D87" s="59"/>
      <c r="E87" s="59"/>
      <c r="F87" s="59"/>
      <c r="G87" s="59"/>
      <c r="H87" s="59"/>
      <c r="I87" s="59"/>
      <c r="J87" s="59"/>
      <c r="K87" s="59"/>
      <c r="L87" s="59"/>
      <c r="M87" s="59"/>
      <c r="N87" s="59"/>
      <c r="O87" s="59"/>
      <c r="P87" s="59"/>
    </row>
    <row r="88" spans="1:16" ht="15.6">
      <c r="A88" s="59" t="s">
        <v>18</v>
      </c>
      <c r="B88" s="180" t="s">
        <v>18</v>
      </c>
      <c r="C88" s="59"/>
      <c r="D88" s="59"/>
      <c r="E88" s="59" t="s">
        <v>235</v>
      </c>
      <c r="F88" s="59"/>
      <c r="G88" s="59"/>
      <c r="H88" s="59"/>
      <c r="I88" s="59"/>
      <c r="J88" s="59"/>
      <c r="K88" s="59"/>
      <c r="L88" s="59"/>
      <c r="M88" s="59"/>
      <c r="N88" s="59"/>
      <c r="O88" s="59"/>
      <c r="P88" s="59"/>
    </row>
    <row r="89" spans="1:16" ht="15.6">
      <c r="A89" s="181" t="s">
        <v>19</v>
      </c>
      <c r="B89" s="59"/>
      <c r="C89" s="59"/>
      <c r="D89" s="59"/>
      <c r="E89" s="59"/>
      <c r="F89" s="59"/>
      <c r="G89" s="59"/>
      <c r="H89" s="59"/>
      <c r="I89" s="59"/>
      <c r="J89" s="59"/>
      <c r="K89" s="59"/>
      <c r="L89" s="59"/>
      <c r="M89" s="59"/>
      <c r="N89" s="59"/>
      <c r="O89" s="59"/>
      <c r="P89" s="59"/>
    </row>
    <row r="90" spans="1:16" ht="15.6">
      <c r="A90" s="181" t="s">
        <v>20</v>
      </c>
      <c r="B90" s="181" t="s">
        <v>21</v>
      </c>
      <c r="C90" s="181" t="s">
        <v>217</v>
      </c>
      <c r="D90" s="181" t="s">
        <v>18</v>
      </c>
      <c r="E90" s="181" t="s">
        <v>22</v>
      </c>
      <c r="F90" s="181" t="s">
        <v>7</v>
      </c>
      <c r="G90" s="181" t="s">
        <v>13</v>
      </c>
      <c r="H90" s="181" t="s">
        <v>16</v>
      </c>
      <c r="I90" s="181" t="s">
        <v>23</v>
      </c>
      <c r="J90" s="181" t="s">
        <v>24</v>
      </c>
      <c r="K90" s="181" t="s">
        <v>25</v>
      </c>
      <c r="L90" s="181" t="s">
        <v>26</v>
      </c>
      <c r="M90" s="181" t="s">
        <v>27</v>
      </c>
      <c r="N90" s="181" t="s">
        <v>28</v>
      </c>
      <c r="O90" s="181" t="s">
        <v>11</v>
      </c>
      <c r="P90" s="181" t="s">
        <v>702</v>
      </c>
    </row>
    <row r="91" spans="1:16" ht="15.6">
      <c r="A91" s="180" t="str">
        <f>B81</f>
        <v>Electrolyser EoL, H2 plant construction EoL, PEMFC-bat</v>
      </c>
      <c r="B91" s="180">
        <v>1</v>
      </c>
      <c r="C91" s="180"/>
      <c r="D91" s="180" t="s">
        <v>18</v>
      </c>
      <c r="E91" s="59" t="s">
        <v>2</v>
      </c>
      <c r="F91" s="59" t="s">
        <v>1365</v>
      </c>
      <c r="G91" s="180" t="s">
        <v>59</v>
      </c>
      <c r="H91" s="59" t="s">
        <v>30</v>
      </c>
      <c r="I91" s="59">
        <v>0</v>
      </c>
      <c r="J91" s="180" t="s">
        <v>31</v>
      </c>
      <c r="K91" s="180" t="s">
        <v>31</v>
      </c>
      <c r="L91" s="180" t="s">
        <v>31</v>
      </c>
      <c r="M91" s="180" t="s">
        <v>31</v>
      </c>
      <c r="N91" s="180" t="s">
        <v>31</v>
      </c>
      <c r="O91" s="180"/>
      <c r="P91" s="59"/>
    </row>
    <row r="92" spans="1:16" s="218" customFormat="1" ht="15.6">
      <c r="A92" s="218" t="str">
        <f>A12</f>
        <v>treatment of aluminium, H2 plant construction EoL, PEMFC-bat</v>
      </c>
      <c r="B92" s="218">
        <v>96777.638855030091</v>
      </c>
      <c r="D92" s="219" t="s">
        <v>37</v>
      </c>
      <c r="E92" s="220" t="s">
        <v>2</v>
      </c>
      <c r="F92" s="220" t="s">
        <v>1365</v>
      </c>
      <c r="G92" s="219" t="s">
        <v>59</v>
      </c>
      <c r="H92" s="218" t="s">
        <v>33</v>
      </c>
      <c r="I92" s="220">
        <v>0</v>
      </c>
      <c r="J92" s="219" t="s">
        <v>31</v>
      </c>
      <c r="K92" s="219" t="s">
        <v>31</v>
      </c>
      <c r="L92" s="219" t="s">
        <v>31</v>
      </c>
      <c r="M92" s="219" t="s">
        <v>31</v>
      </c>
      <c r="N92" s="219" t="s">
        <v>31</v>
      </c>
      <c r="O92" s="218" t="s">
        <v>1390</v>
      </c>
    </row>
    <row r="93" spans="1:16" s="218" customFormat="1" ht="15.6">
      <c r="A93" s="218" t="str">
        <f>A27</f>
        <v>treatment of copper, H2 plant construction EoL, PEMFC-bat</v>
      </c>
      <c r="B93" s="218">
        <v>61559.795896978147</v>
      </c>
      <c r="D93" s="219" t="s">
        <v>37</v>
      </c>
      <c r="E93" s="220" t="s">
        <v>2</v>
      </c>
      <c r="F93" s="220" t="s">
        <v>1365</v>
      </c>
      <c r="G93" s="219" t="s">
        <v>59</v>
      </c>
      <c r="H93" s="218" t="s">
        <v>33</v>
      </c>
      <c r="I93" s="220">
        <v>0</v>
      </c>
      <c r="J93" s="219" t="s">
        <v>31</v>
      </c>
      <c r="K93" s="219" t="s">
        <v>31</v>
      </c>
      <c r="L93" s="219" t="s">
        <v>31</v>
      </c>
      <c r="M93" s="219" t="s">
        <v>31</v>
      </c>
      <c r="N93" s="219" t="s">
        <v>31</v>
      </c>
      <c r="O93" s="218" t="s">
        <v>1391</v>
      </c>
    </row>
    <row r="94" spans="1:16" s="218" customFormat="1" ht="15.6">
      <c r="A94" s="218" t="str">
        <f>A55</f>
        <v>treatment of composites, H2 plant construction EoL, PEMFC-bat</v>
      </c>
      <c r="B94" s="218">
        <v>10059.696843640051</v>
      </c>
      <c r="D94" s="219" t="s">
        <v>37</v>
      </c>
      <c r="E94" s="220" t="s">
        <v>2</v>
      </c>
      <c r="F94" s="220" t="s">
        <v>1365</v>
      </c>
      <c r="G94" s="219" t="s">
        <v>59</v>
      </c>
      <c r="H94" s="218" t="s">
        <v>33</v>
      </c>
      <c r="I94" s="220">
        <v>0</v>
      </c>
      <c r="J94" s="219" t="s">
        <v>31</v>
      </c>
      <c r="K94" s="219" t="s">
        <v>31</v>
      </c>
      <c r="L94" s="219" t="s">
        <v>31</v>
      </c>
      <c r="M94" s="219" t="s">
        <v>31</v>
      </c>
      <c r="N94" s="219" t="s">
        <v>31</v>
      </c>
      <c r="O94" s="218" t="s">
        <v>1392</v>
      </c>
    </row>
    <row r="95" spans="1:16" s="218" customFormat="1" ht="15.6">
      <c r="A95" s="218" t="str">
        <f>A55</f>
        <v>treatment of composites, H2 plant construction EoL, PEMFC-bat</v>
      </c>
      <c r="B95" s="218">
        <v>9077.6155077441035</v>
      </c>
      <c r="D95" s="219" t="s">
        <v>37</v>
      </c>
      <c r="E95" s="220" t="s">
        <v>2</v>
      </c>
      <c r="F95" s="220" t="s">
        <v>1365</v>
      </c>
      <c r="G95" s="219" t="s">
        <v>59</v>
      </c>
      <c r="H95" s="218" t="s">
        <v>33</v>
      </c>
      <c r="I95" s="220">
        <v>0</v>
      </c>
      <c r="J95" s="219" t="s">
        <v>31</v>
      </c>
      <c r="K95" s="219" t="s">
        <v>31</v>
      </c>
      <c r="L95" s="219" t="s">
        <v>31</v>
      </c>
      <c r="M95" s="219" t="s">
        <v>31</v>
      </c>
      <c r="N95" s="219" t="s">
        <v>31</v>
      </c>
      <c r="O95" s="218" t="s">
        <v>1393</v>
      </c>
    </row>
    <row r="96" spans="1:16" s="218" customFormat="1" ht="15.6">
      <c r="A96" s="218" t="str">
        <f>A55</f>
        <v>treatment of composites, H2 plant construction EoL, PEMFC-bat</v>
      </c>
      <c r="B96" s="218">
        <v>8563.0795206679304</v>
      </c>
      <c r="D96" s="219" t="s">
        <v>37</v>
      </c>
      <c r="E96" s="220" t="s">
        <v>2</v>
      </c>
      <c r="F96" s="220" t="s">
        <v>1365</v>
      </c>
      <c r="G96" s="219" t="s">
        <v>59</v>
      </c>
      <c r="H96" s="218" t="s">
        <v>33</v>
      </c>
      <c r="I96" s="220">
        <v>0</v>
      </c>
      <c r="J96" s="219" t="s">
        <v>31</v>
      </c>
      <c r="K96" s="219" t="s">
        <v>31</v>
      </c>
      <c r="L96" s="219" t="s">
        <v>31</v>
      </c>
      <c r="M96" s="219" t="s">
        <v>31</v>
      </c>
      <c r="N96" s="219" t="s">
        <v>31</v>
      </c>
      <c r="O96" s="218" t="s">
        <v>1394</v>
      </c>
    </row>
    <row r="97" spans="1:15" s="218" customFormat="1" ht="15.6">
      <c r="A97" s="218" t="str">
        <f>A55</f>
        <v>treatment of composites, H2 plant construction EoL, PEMFC-bat</v>
      </c>
      <c r="B97" s="218">
        <v>8801.6000000000022</v>
      </c>
      <c r="D97" s="219" t="s">
        <v>37</v>
      </c>
      <c r="E97" s="220" t="s">
        <v>2</v>
      </c>
      <c r="F97" s="220" t="s">
        <v>1365</v>
      </c>
      <c r="G97" s="219" t="s">
        <v>59</v>
      </c>
      <c r="H97" s="218" t="s">
        <v>33</v>
      </c>
      <c r="I97" s="220">
        <v>0</v>
      </c>
      <c r="J97" s="219" t="s">
        <v>31</v>
      </c>
      <c r="K97" s="219" t="s">
        <v>31</v>
      </c>
      <c r="L97" s="219" t="s">
        <v>31</v>
      </c>
      <c r="M97" s="219" t="s">
        <v>31</v>
      </c>
      <c r="N97" s="219" t="s">
        <v>31</v>
      </c>
      <c r="O97" s="218" t="s">
        <v>1395</v>
      </c>
    </row>
    <row r="98" spans="1:15" s="218" customFormat="1" ht="15.6">
      <c r="A98" s="218" t="str">
        <f>A41</f>
        <v>treatment of steel, H2 plant construction EoL, PEMFC-bat</v>
      </c>
      <c r="B98" s="218">
        <v>1246836.374252934</v>
      </c>
      <c r="D98" s="219" t="s">
        <v>37</v>
      </c>
      <c r="E98" s="220" t="s">
        <v>2</v>
      </c>
      <c r="F98" s="220" t="s">
        <v>1365</v>
      </c>
      <c r="G98" s="219" t="s">
        <v>59</v>
      </c>
      <c r="H98" s="218" t="s">
        <v>33</v>
      </c>
      <c r="I98" s="220">
        <v>0</v>
      </c>
      <c r="J98" s="219" t="s">
        <v>31</v>
      </c>
      <c r="K98" s="219" t="s">
        <v>31</v>
      </c>
      <c r="L98" s="219" t="s">
        <v>31</v>
      </c>
      <c r="M98" s="219" t="s">
        <v>31</v>
      </c>
      <c r="N98" s="219" t="s">
        <v>31</v>
      </c>
      <c r="O98" s="218" t="s">
        <v>1396</v>
      </c>
    </row>
    <row r="99" spans="1:15" s="218" customFormat="1" ht="15.6">
      <c r="A99" s="218" t="str">
        <f>A55</f>
        <v>treatment of composites, H2 plant construction EoL, PEMFC-bat</v>
      </c>
      <c r="B99" s="218">
        <v>52819.200000000004</v>
      </c>
      <c r="D99" s="219" t="s">
        <v>37</v>
      </c>
      <c r="E99" s="220" t="s">
        <v>2</v>
      </c>
      <c r="F99" s="220" t="s">
        <v>1365</v>
      </c>
      <c r="G99" s="219" t="s">
        <v>59</v>
      </c>
      <c r="H99" s="218" t="s">
        <v>33</v>
      </c>
      <c r="I99" s="220">
        <v>0</v>
      </c>
      <c r="J99" s="219" t="s">
        <v>31</v>
      </c>
      <c r="K99" s="219" t="s">
        <v>31</v>
      </c>
      <c r="L99" s="219" t="s">
        <v>31</v>
      </c>
      <c r="M99" s="219" t="s">
        <v>31</v>
      </c>
      <c r="N99" s="219" t="s">
        <v>31</v>
      </c>
      <c r="O99" s="218" t="s">
        <v>1397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B52DE-4173-4698-8E83-E64EB1A533DB}">
  <dimension ref="A1:O18"/>
  <sheetViews>
    <sheetView topLeftCell="A5" workbookViewId="0">
      <selection activeCell="I21" sqref="I21"/>
    </sheetView>
  </sheetViews>
  <sheetFormatPr defaultRowHeight="14.45"/>
  <cols>
    <col min="1" max="1" width="36" bestFit="1" customWidth="1"/>
    <col min="2" max="2" width="54.28515625" bestFit="1" customWidth="1"/>
  </cols>
  <sheetData>
    <row r="1" spans="1:15" s="24" customFormat="1">
      <c r="A1" s="24" t="s">
        <v>0</v>
      </c>
      <c r="B1" s="24">
        <v>13</v>
      </c>
      <c r="C1" s="25"/>
      <c r="O1" s="27" t="str">
        <f ca="1">UPPER(CONCATENATE(DEC2HEX(RANDBETWEEN(0,POWER(16,8)),8),DEC2HEX(RANDBETWEEN(0,POWER(16,4)),4),"4",DEC2HEX(RANDBETWEEN(0,POWER(16,3)),3),DEC2HEX(RANDBETWEEN(8,11)),DEC2HEX(RANDBETWEEN(0,POWER(16,3)),3),DEC2HEX(RANDBETWEEN(0,POWER(16,8)),8),DEC2HEX(RANDBETWEEN(0,POWER(16,4)),4)))</f>
        <v>9C93B4F0C07C47E4BACEC9095C53D05F</v>
      </c>
    </row>
    <row r="2" spans="1:15" s="24" customFormat="1" ht="15.6">
      <c r="A2" s="28" t="s">
        <v>5</v>
      </c>
      <c r="B2" s="28" t="s">
        <v>200</v>
      </c>
      <c r="C2" s="29"/>
      <c r="D2" s="30"/>
      <c r="E2" s="30"/>
      <c r="F2" s="30"/>
      <c r="G2" s="30"/>
      <c r="H2" s="30"/>
      <c r="I2" s="30"/>
      <c r="J2" s="30"/>
      <c r="K2" s="30"/>
      <c r="L2" s="30"/>
      <c r="M2" s="30"/>
      <c r="N2" s="30"/>
    </row>
    <row r="3" spans="1:15" s="27" customFormat="1" ht="12.95">
      <c r="A3" s="27" t="s">
        <v>7</v>
      </c>
      <c r="B3" s="27" t="s">
        <v>184</v>
      </c>
    </row>
    <row r="4" spans="1:15" s="27" customFormat="1" ht="12.95">
      <c r="A4" s="27" t="s">
        <v>9</v>
      </c>
      <c r="B4" s="27" t="s">
        <v>1398</v>
      </c>
    </row>
    <row r="5" spans="1:15" s="27" customFormat="1" ht="39">
      <c r="A5" s="27" t="s">
        <v>11</v>
      </c>
      <c r="B5" s="217" t="s">
        <v>1399</v>
      </c>
    </row>
    <row r="6" spans="1:15" s="27" customFormat="1" ht="12.95">
      <c r="A6" s="27" t="s">
        <v>13</v>
      </c>
      <c r="B6" s="27" t="s">
        <v>14</v>
      </c>
    </row>
    <row r="7" spans="1:15" s="27" customFormat="1" ht="12.95">
      <c r="A7" s="27" t="s">
        <v>15</v>
      </c>
      <c r="B7" s="37">
        <v>1</v>
      </c>
    </row>
    <row r="8" spans="1:15" s="27" customFormat="1" ht="12.95">
      <c r="A8" s="27" t="s">
        <v>16</v>
      </c>
      <c r="B8" s="27" t="s">
        <v>17</v>
      </c>
    </row>
    <row r="9" spans="1:15" s="27" customFormat="1" ht="12.95">
      <c r="A9" s="27" t="s">
        <v>18</v>
      </c>
      <c r="B9" s="27" t="s">
        <v>18</v>
      </c>
    </row>
    <row r="10" spans="1:15" s="24" customFormat="1" ht="15.6">
      <c r="A10" s="26" t="s">
        <v>19</v>
      </c>
    </row>
    <row r="11" spans="1:15" s="24" customFormat="1"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row>
    <row r="12" spans="1:15" s="27" customFormat="1" ht="12.95">
      <c r="A12" s="27" t="s">
        <v>200</v>
      </c>
      <c r="B12" s="27">
        <f>B7</f>
        <v>1</v>
      </c>
      <c r="C12" s="27" t="str">
        <f>B9</f>
        <v>unit</v>
      </c>
      <c r="D12" s="27" t="s">
        <v>2</v>
      </c>
      <c r="E12" s="27" t="s">
        <v>29</v>
      </c>
      <c r="F12" s="27" t="str">
        <f>B6</f>
        <v>EUR</v>
      </c>
      <c r="G12" s="27" t="s">
        <v>30</v>
      </c>
      <c r="H12" s="27">
        <v>0</v>
      </c>
      <c r="I12" s="27">
        <f>B12</f>
        <v>1</v>
      </c>
      <c r="J12" s="27" t="s">
        <v>31</v>
      </c>
      <c r="K12" s="27" t="s">
        <v>31</v>
      </c>
      <c r="L12" s="27" t="s">
        <v>31</v>
      </c>
      <c r="M12" s="27" t="s">
        <v>31</v>
      </c>
    </row>
    <row r="13" spans="1:15" s="27" customFormat="1" ht="12.95">
      <c r="A13" s="27" t="s">
        <v>1326</v>
      </c>
      <c r="B13" s="27">
        <v>380000</v>
      </c>
      <c r="C13" s="27" t="s">
        <v>37</v>
      </c>
      <c r="D13" s="27" t="s">
        <v>40</v>
      </c>
      <c r="E13" s="27" t="s">
        <v>29</v>
      </c>
      <c r="F13" s="27" t="s">
        <v>59</v>
      </c>
      <c r="G13" s="27" t="s">
        <v>33</v>
      </c>
      <c r="H13" s="27">
        <v>2</v>
      </c>
      <c r="I13" s="27">
        <f>LN(B13)</f>
        <v>12.847926531702569</v>
      </c>
      <c r="J13" s="27">
        <v>1.2523227161918644</v>
      </c>
      <c r="K13" s="27" t="s">
        <v>31</v>
      </c>
      <c r="L13" s="27" t="s">
        <v>31</v>
      </c>
      <c r="M13" s="27" t="s">
        <v>31</v>
      </c>
    </row>
    <row r="14" spans="1:15">
      <c r="A14" s="27" t="s">
        <v>687</v>
      </c>
      <c r="B14" s="27">
        <v>595000</v>
      </c>
      <c r="C14" s="27" t="s">
        <v>37</v>
      </c>
      <c r="D14" s="27" t="s">
        <v>40</v>
      </c>
      <c r="E14" s="27" t="s">
        <v>29</v>
      </c>
      <c r="F14" s="27" t="s">
        <v>59</v>
      </c>
      <c r="G14" s="27" t="s">
        <v>33</v>
      </c>
      <c r="H14" s="27">
        <v>2</v>
      </c>
      <c r="I14" s="27">
        <f>LN(B14)</f>
        <v>13.296316684527767</v>
      </c>
      <c r="J14" s="27">
        <v>1.2523227161918644</v>
      </c>
      <c r="K14" s="27" t="s">
        <v>31</v>
      </c>
      <c r="L14" s="27" t="s">
        <v>31</v>
      </c>
      <c r="M14" s="27" t="s">
        <v>31</v>
      </c>
    </row>
    <row r="15" spans="1:15">
      <c r="A15" s="27" t="s">
        <v>120</v>
      </c>
      <c r="B15" s="27">
        <v>150000</v>
      </c>
      <c r="C15" s="27" t="s">
        <v>37</v>
      </c>
      <c r="D15" s="27" t="s">
        <v>40</v>
      </c>
      <c r="E15" s="27" t="s">
        <v>29</v>
      </c>
      <c r="F15" s="27" t="s">
        <v>59</v>
      </c>
      <c r="G15" s="27" t="s">
        <v>33</v>
      </c>
      <c r="H15" s="27">
        <v>2</v>
      </c>
      <c r="I15" s="27">
        <f>LN(B15)</f>
        <v>11.918390573078392</v>
      </c>
      <c r="J15" s="27">
        <v>1.2523227161918644</v>
      </c>
      <c r="K15" s="27" t="s">
        <v>31</v>
      </c>
      <c r="L15" s="27" t="s">
        <v>31</v>
      </c>
      <c r="M15" s="27" t="s">
        <v>31</v>
      </c>
    </row>
    <row r="16" spans="1:15">
      <c r="A16" s="27" t="s">
        <v>85</v>
      </c>
      <c r="B16" s="27">
        <v>140000</v>
      </c>
      <c r="C16" s="27" t="s">
        <v>37</v>
      </c>
      <c r="D16" s="27" t="s">
        <v>40</v>
      </c>
      <c r="E16" s="27" t="s">
        <v>29</v>
      </c>
      <c r="F16" s="27" t="s">
        <v>59</v>
      </c>
      <c r="G16" s="27" t="s">
        <v>33</v>
      </c>
      <c r="H16" s="27">
        <v>2</v>
      </c>
      <c r="I16" s="27">
        <f>LN(B16)</f>
        <v>11.849397701591441</v>
      </c>
      <c r="J16" s="27">
        <v>1.2523227161918644</v>
      </c>
      <c r="K16" s="27" t="s">
        <v>31</v>
      </c>
      <c r="L16" s="27" t="s">
        <v>31</v>
      </c>
      <c r="M16" s="27" t="s">
        <v>31</v>
      </c>
    </row>
    <row r="17" spans="1:13">
      <c r="A17" s="27" t="s">
        <v>1400</v>
      </c>
      <c r="B17" s="27">
        <v>23.31</v>
      </c>
      <c r="C17" s="27" t="s">
        <v>42</v>
      </c>
      <c r="D17" s="27" t="s">
        <v>40</v>
      </c>
      <c r="E17" s="27" t="s">
        <v>29</v>
      </c>
      <c r="F17" s="27" t="s">
        <v>59</v>
      </c>
      <c r="G17" s="27" t="s">
        <v>33</v>
      </c>
      <c r="H17" s="27">
        <v>2</v>
      </c>
      <c r="I17" s="27">
        <f>LN(B17)</f>
        <v>3.1488824530476656</v>
      </c>
      <c r="J17" s="27">
        <v>1.2523227161918644</v>
      </c>
      <c r="K17" s="27" t="s">
        <v>31</v>
      </c>
      <c r="L17" s="27" t="s">
        <v>31</v>
      </c>
      <c r="M17" s="27" t="s">
        <v>31</v>
      </c>
    </row>
    <row r="18" spans="1:13">
      <c r="A18" t="s">
        <v>1401</v>
      </c>
      <c r="B18" s="27">
        <v>1</v>
      </c>
      <c r="C18" s="27" t="s">
        <v>18</v>
      </c>
      <c r="D18" s="27">
        <v>1</v>
      </c>
      <c r="E18" s="27" t="s">
        <v>29</v>
      </c>
      <c r="F18" s="27" t="s">
        <v>59</v>
      </c>
      <c r="G18" s="27" t="s">
        <v>33</v>
      </c>
      <c r="H18" s="27">
        <v>1</v>
      </c>
      <c r="I18" s="27">
        <v>1</v>
      </c>
      <c r="J18" s="27" t="s">
        <v>31</v>
      </c>
      <c r="K18" s="27" t="s">
        <v>31</v>
      </c>
      <c r="L18" s="27" t="s">
        <v>31</v>
      </c>
      <c r="M18" s="27" t="s">
        <v>31</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24E32-042C-4213-A4AC-60465A3B4F35}">
  <dimension ref="A1:U80"/>
  <sheetViews>
    <sheetView topLeftCell="A51" zoomScale="85" zoomScaleNormal="85" workbookViewId="0">
      <selection sqref="A1:B1"/>
    </sheetView>
  </sheetViews>
  <sheetFormatPr defaultRowHeight="14.45"/>
  <cols>
    <col min="1" max="1" width="40" bestFit="1" customWidth="1"/>
    <col min="3" max="3" width="10.140625" bestFit="1" customWidth="1"/>
    <col min="4" max="4" width="28.85546875" bestFit="1" customWidth="1"/>
  </cols>
  <sheetData>
    <row r="1" spans="1:16">
      <c r="A1" t="s">
        <v>0</v>
      </c>
      <c r="B1">
        <v>14</v>
      </c>
    </row>
    <row r="2" spans="1:16" s="70" customFormat="1" ht="15.6">
      <c r="A2" s="178" t="s">
        <v>5</v>
      </c>
      <c r="B2" s="178" t="s">
        <v>1402</v>
      </c>
      <c r="C2" s="178"/>
      <c r="D2" s="69"/>
      <c r="E2" s="144"/>
      <c r="F2" s="144"/>
      <c r="G2" s="144"/>
      <c r="H2" s="144"/>
      <c r="I2" s="144"/>
      <c r="J2" s="144"/>
      <c r="K2" s="144"/>
      <c r="L2" s="144"/>
      <c r="M2" s="144"/>
      <c r="N2" s="144"/>
      <c r="O2" s="144"/>
      <c r="P2" s="144"/>
    </row>
    <row r="3" spans="1:16">
      <c r="A3" s="59" t="s">
        <v>7</v>
      </c>
      <c r="B3" s="59" t="s">
        <v>1362</v>
      </c>
      <c r="C3" s="59"/>
      <c r="D3" s="59"/>
      <c r="E3" s="59"/>
      <c r="F3" s="59"/>
      <c r="G3" s="59"/>
      <c r="H3" s="59"/>
      <c r="I3" s="59"/>
      <c r="J3" s="59"/>
      <c r="K3" s="59"/>
      <c r="L3" s="59"/>
      <c r="M3" s="59"/>
      <c r="N3" s="59"/>
      <c r="O3" s="59"/>
      <c r="P3" s="59"/>
    </row>
    <row r="4" spans="1:16">
      <c r="A4" s="59" t="s">
        <v>9</v>
      </c>
      <c r="B4" s="186" t="str">
        <f ca="1">UPPER(CONCATENATE(DEC2HEX(RANDBETWEEN(0,POWER(16,8)),8),DEC2HEX(RANDBETWEEN(0,POWER(16,4)),4),"4",DEC2HEX(RANDBETWEEN(0,POWER(16,3)),3),DEC2HEX(RANDBETWEEN(8,11)),DEC2HEX(RANDBETWEEN(0,POWER(16,3)),3),DEC2HEX(RANDBETWEEN(0,POWER(16,8)),8),DEC2HEX(RANDBETWEEN(0,POWER(16,4)),4)))</f>
        <v>7C46EDA076CA454FBF01E0C7D8979DCD</v>
      </c>
      <c r="C4" s="59"/>
      <c r="D4" s="59"/>
      <c r="E4" s="59"/>
      <c r="F4" s="59"/>
      <c r="G4" s="59"/>
      <c r="H4" s="59"/>
      <c r="I4" s="59"/>
      <c r="J4" s="59"/>
      <c r="K4" s="59"/>
      <c r="L4" s="59"/>
      <c r="M4" s="59"/>
      <c r="N4" s="59"/>
      <c r="O4" s="59"/>
      <c r="P4" s="59"/>
    </row>
    <row r="5" spans="1:16">
      <c r="A5" s="59" t="s">
        <v>11</v>
      </c>
      <c r="B5" s="59" t="s">
        <v>1403</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ht="15.6">
      <c r="A9" s="59" t="s">
        <v>18</v>
      </c>
      <c r="B9" s="180" t="s">
        <v>37</v>
      </c>
      <c r="C9" s="59"/>
      <c r="D9" s="59"/>
      <c r="E9" s="59" t="s">
        <v>235</v>
      </c>
      <c r="F9" s="59"/>
      <c r="G9" s="59"/>
      <c r="H9" s="59"/>
      <c r="I9" s="59"/>
      <c r="J9" s="59"/>
      <c r="K9" s="59"/>
      <c r="L9" s="59"/>
      <c r="M9" s="59"/>
      <c r="N9" s="59"/>
      <c r="O9" s="59"/>
      <c r="P9" s="59"/>
    </row>
    <row r="10" spans="1:16" ht="15.6">
      <c r="A10" s="181" t="s">
        <v>19</v>
      </c>
      <c r="B10" s="59"/>
      <c r="C10" s="59"/>
      <c r="D10" s="59"/>
      <c r="E10" s="59"/>
      <c r="F10" s="59"/>
      <c r="G10" s="59"/>
      <c r="H10" s="59"/>
      <c r="I10" s="59"/>
      <c r="J10" s="59"/>
      <c r="K10" s="59"/>
      <c r="L10" s="59"/>
      <c r="M10" s="59"/>
      <c r="N10" s="59"/>
      <c r="O10" s="59"/>
      <c r="P10" s="59"/>
    </row>
    <row r="11" spans="1:16"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6">
      <c r="A12" s="180" t="str">
        <f>B2</f>
        <v>treatment of aluminium, H2 liquefaction, PEMFC-bat</v>
      </c>
      <c r="B12" s="180">
        <v>1</v>
      </c>
      <c r="C12" s="180"/>
      <c r="D12" s="180" t="s">
        <v>37</v>
      </c>
      <c r="E12" s="59" t="s">
        <v>2</v>
      </c>
      <c r="F12" s="59" t="s">
        <v>1404</v>
      </c>
      <c r="G12" s="180" t="s">
        <v>59</v>
      </c>
      <c r="H12" s="59" t="s">
        <v>30</v>
      </c>
      <c r="I12" s="59">
        <v>0</v>
      </c>
      <c r="J12" s="180" t="s">
        <v>31</v>
      </c>
      <c r="K12" s="180" t="s">
        <v>31</v>
      </c>
      <c r="L12" s="180" t="s">
        <v>31</v>
      </c>
      <c r="M12" s="180" t="s">
        <v>31</v>
      </c>
      <c r="N12" s="180" t="s">
        <v>31</v>
      </c>
      <c r="O12" s="180" t="s">
        <v>1366</v>
      </c>
      <c r="P12" s="59"/>
    </row>
    <row r="13" spans="1:16" ht="15.6">
      <c r="A13" t="s">
        <v>263</v>
      </c>
      <c r="B13" s="23">
        <v>0.85</v>
      </c>
      <c r="C13" s="180"/>
      <c r="D13" s="180" t="s">
        <v>37</v>
      </c>
      <c r="E13" s="37" t="s">
        <v>40</v>
      </c>
      <c r="F13" s="59" t="s">
        <v>1404</v>
      </c>
      <c r="G13" s="180" t="s">
        <v>82</v>
      </c>
      <c r="H13" s="59" t="s">
        <v>33</v>
      </c>
      <c r="I13" s="59">
        <v>0</v>
      </c>
      <c r="J13" s="180" t="s">
        <v>31</v>
      </c>
      <c r="K13" s="180" t="s">
        <v>31</v>
      </c>
      <c r="L13" s="180" t="s">
        <v>31</v>
      </c>
      <c r="M13" s="180" t="s">
        <v>31</v>
      </c>
      <c r="N13" s="180" t="s">
        <v>31</v>
      </c>
      <c r="O13" s="59"/>
      <c r="P13" s="59"/>
    </row>
    <row r="14" spans="1:16" ht="15.6">
      <c r="A14" t="s">
        <v>265</v>
      </c>
      <c r="B14" s="23">
        <v>0.85</v>
      </c>
      <c r="C14" s="22" t="s">
        <v>266</v>
      </c>
      <c r="D14" t="s">
        <v>37</v>
      </c>
      <c r="E14" s="188" t="s">
        <v>40</v>
      </c>
      <c r="F14" s="59" t="s">
        <v>1404</v>
      </c>
      <c r="G14" s="180" t="s">
        <v>82</v>
      </c>
      <c r="H14" s="59" t="s">
        <v>33</v>
      </c>
      <c r="I14" s="59">
        <v>0</v>
      </c>
      <c r="J14" s="180" t="s">
        <v>31</v>
      </c>
      <c r="K14" s="180" t="s">
        <v>31</v>
      </c>
      <c r="L14" s="180" t="s">
        <v>31</v>
      </c>
      <c r="M14" s="180" t="s">
        <v>31</v>
      </c>
      <c r="N14" s="180" t="s">
        <v>31</v>
      </c>
      <c r="O14" s="180" t="s">
        <v>1367</v>
      </c>
    </row>
    <row r="15" spans="1:16" ht="15.6">
      <c r="A15" t="s">
        <v>347</v>
      </c>
      <c r="B15" s="23">
        <f>B14*0.9</f>
        <v>0.76500000000000001</v>
      </c>
      <c r="D15" t="s">
        <v>37</v>
      </c>
      <c r="E15" s="188" t="s">
        <v>40</v>
      </c>
      <c r="F15" s="59" t="s">
        <v>1404</v>
      </c>
      <c r="G15" t="s">
        <v>59</v>
      </c>
      <c r="H15" s="59" t="s">
        <v>136</v>
      </c>
      <c r="I15" s="59">
        <v>0</v>
      </c>
      <c r="J15" s="180" t="s">
        <v>31</v>
      </c>
      <c r="K15" s="180" t="s">
        <v>31</v>
      </c>
      <c r="L15" s="180" t="s">
        <v>31</v>
      </c>
      <c r="M15" s="180" t="s">
        <v>31</v>
      </c>
      <c r="N15" s="180" t="s">
        <v>31</v>
      </c>
      <c r="O15" s="59"/>
      <c r="P15" s="180" t="s">
        <v>1368</v>
      </c>
    </row>
    <row r="16" spans="1:16" ht="15.6">
      <c r="A16" t="s">
        <v>403</v>
      </c>
      <c r="B16" s="23">
        <f>-(1-B15)</f>
        <v>-0.23499999999999999</v>
      </c>
      <c r="D16" t="s">
        <v>37</v>
      </c>
      <c r="E16" s="88" t="s">
        <v>40</v>
      </c>
      <c r="F16" s="59" t="s">
        <v>1404</v>
      </c>
      <c r="G16" t="s">
        <v>59</v>
      </c>
      <c r="H16" t="s">
        <v>33</v>
      </c>
      <c r="I16">
        <v>0</v>
      </c>
      <c r="J16" t="s">
        <v>31</v>
      </c>
      <c r="K16" t="s">
        <v>31</v>
      </c>
      <c r="L16" t="s">
        <v>31</v>
      </c>
      <c r="M16" t="s">
        <v>31</v>
      </c>
      <c r="N16" t="s">
        <v>31</v>
      </c>
      <c r="O16" s="17"/>
      <c r="P16" s="59"/>
    </row>
    <row r="17" spans="1:16" s="70" customFormat="1" ht="15.6">
      <c r="A17" s="178" t="s">
        <v>5</v>
      </c>
      <c r="B17" s="178" t="s">
        <v>1405</v>
      </c>
      <c r="C17" s="178"/>
      <c r="D17" s="69"/>
      <c r="E17" s="144"/>
      <c r="F17" s="144"/>
      <c r="G17" s="144"/>
      <c r="H17" s="144"/>
      <c r="I17" s="144"/>
      <c r="J17" s="144"/>
      <c r="K17" s="144"/>
      <c r="L17" s="144"/>
      <c r="M17" s="144"/>
      <c r="N17" s="144"/>
      <c r="O17" s="144"/>
      <c r="P17" s="144"/>
    </row>
    <row r="18" spans="1:16">
      <c r="A18" s="59" t="s">
        <v>7</v>
      </c>
      <c r="B18" s="59" t="s">
        <v>1362</v>
      </c>
      <c r="C18" s="59"/>
      <c r="D18" s="59"/>
      <c r="E18" s="59"/>
      <c r="F18" s="59"/>
      <c r="G18" s="59"/>
      <c r="H18" s="59"/>
      <c r="I18" s="59"/>
      <c r="J18" s="59"/>
      <c r="K18" s="59"/>
      <c r="L18" s="59"/>
      <c r="M18" s="59"/>
      <c r="N18" s="59"/>
      <c r="O18" s="59"/>
      <c r="P18" s="59"/>
    </row>
    <row r="19" spans="1:16">
      <c r="A19" s="59" t="s">
        <v>9</v>
      </c>
      <c r="B19" s="186" t="s">
        <v>1406</v>
      </c>
      <c r="C19" s="59"/>
      <c r="D19" s="59"/>
      <c r="E19" s="59"/>
      <c r="F19" s="59"/>
      <c r="G19" s="59"/>
      <c r="H19" s="59"/>
      <c r="I19" s="59"/>
      <c r="J19" s="59"/>
      <c r="K19" s="59"/>
      <c r="L19" s="59"/>
      <c r="M19" s="59"/>
      <c r="N19" s="59"/>
      <c r="O19" s="59"/>
      <c r="P19" s="59"/>
    </row>
    <row r="20" spans="1:16">
      <c r="A20" s="59" t="s">
        <v>11</v>
      </c>
      <c r="B20" s="59" t="s">
        <v>1403</v>
      </c>
      <c r="C20" s="59"/>
      <c r="D20" s="59"/>
      <c r="E20" s="59"/>
      <c r="F20" s="59"/>
      <c r="G20" s="59"/>
      <c r="H20" s="59"/>
      <c r="I20" s="59"/>
      <c r="J20" s="59"/>
      <c r="K20" s="59"/>
      <c r="L20" s="59"/>
      <c r="M20" s="59"/>
      <c r="N20" s="59"/>
      <c r="O20" s="59"/>
      <c r="P20" s="59"/>
    </row>
    <row r="21" spans="1:16">
      <c r="A21" s="59" t="s">
        <v>13</v>
      </c>
      <c r="B21" s="59" t="s">
        <v>59</v>
      </c>
      <c r="C21" s="59"/>
      <c r="D21" s="59"/>
      <c r="E21" s="59"/>
      <c r="F21" s="59"/>
      <c r="G21" s="59"/>
      <c r="H21" s="59"/>
      <c r="I21" s="59"/>
      <c r="J21" s="59"/>
      <c r="K21" s="59"/>
      <c r="L21" s="59"/>
      <c r="M21" s="59"/>
      <c r="N21" s="59"/>
      <c r="O21" s="59"/>
      <c r="P21" s="59"/>
    </row>
    <row r="22" spans="1:16">
      <c r="A22" s="59" t="s">
        <v>15</v>
      </c>
      <c r="B22" s="59">
        <v>1</v>
      </c>
      <c r="C22" s="59"/>
      <c r="D22" s="59"/>
      <c r="E22" s="59"/>
      <c r="F22" s="59"/>
      <c r="G22" s="59"/>
      <c r="H22" s="59"/>
      <c r="I22" s="59"/>
      <c r="J22" s="59"/>
      <c r="K22" s="59"/>
      <c r="L22" s="59"/>
      <c r="M22" s="59"/>
      <c r="N22" s="59"/>
      <c r="O22" s="59"/>
      <c r="P22" s="59"/>
    </row>
    <row r="23" spans="1:16">
      <c r="A23" s="59" t="s">
        <v>16</v>
      </c>
      <c r="B23" s="59" t="s">
        <v>17</v>
      </c>
      <c r="C23" s="59"/>
      <c r="D23" s="59"/>
      <c r="E23" s="59"/>
      <c r="F23" s="59"/>
      <c r="G23" s="59"/>
      <c r="H23" s="59"/>
      <c r="I23" s="59"/>
      <c r="J23" s="59"/>
      <c r="K23" s="59"/>
      <c r="L23" s="59"/>
      <c r="M23" s="59"/>
      <c r="N23" s="59"/>
      <c r="O23" s="59"/>
      <c r="P23" s="59"/>
    </row>
    <row r="24" spans="1:16" ht="15.6">
      <c r="A24" s="59" t="s">
        <v>18</v>
      </c>
      <c r="B24" s="180" t="s">
        <v>37</v>
      </c>
      <c r="C24" s="59"/>
      <c r="D24" s="59"/>
      <c r="E24" s="59" t="s">
        <v>235</v>
      </c>
      <c r="F24" s="59"/>
      <c r="G24" s="59"/>
      <c r="H24" s="59"/>
      <c r="I24" s="59"/>
      <c r="J24" s="59"/>
      <c r="K24" s="59"/>
      <c r="L24" s="59"/>
      <c r="M24" s="59"/>
      <c r="N24" s="59"/>
      <c r="O24" s="59"/>
      <c r="P24" s="59"/>
    </row>
    <row r="25" spans="1:16" ht="15.6">
      <c r="A25" s="181" t="s">
        <v>19</v>
      </c>
      <c r="B25" s="59"/>
      <c r="C25" s="59"/>
      <c r="D25" s="59"/>
      <c r="E25" s="59"/>
      <c r="F25" s="59"/>
      <c r="G25" s="59"/>
      <c r="H25" s="59"/>
      <c r="I25" s="59"/>
      <c r="J25" s="59"/>
      <c r="K25" s="59"/>
      <c r="L25" s="59"/>
      <c r="M25" s="59"/>
      <c r="N25" s="59"/>
      <c r="O25" s="59"/>
      <c r="P25" s="59"/>
    </row>
    <row r="26" spans="1:16" ht="15.6">
      <c r="A26" s="181" t="s">
        <v>20</v>
      </c>
      <c r="B26" s="181" t="s">
        <v>21</v>
      </c>
      <c r="C26" s="181" t="s">
        <v>217</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702</v>
      </c>
    </row>
    <row r="27" spans="1:16" ht="15.6">
      <c r="A27" s="180" t="str">
        <f>B17</f>
        <v>treatment of copper, H2 liquefaction, PEMFC-bat</v>
      </c>
      <c r="B27" s="180">
        <v>1</v>
      </c>
      <c r="C27" s="180"/>
      <c r="D27" s="180" t="s">
        <v>37</v>
      </c>
      <c r="E27" s="59" t="s">
        <v>2</v>
      </c>
      <c r="F27" s="59" t="s">
        <v>1404</v>
      </c>
      <c r="G27" s="180" t="s">
        <v>59</v>
      </c>
      <c r="H27" s="59" t="s">
        <v>30</v>
      </c>
      <c r="I27" s="59">
        <v>0</v>
      </c>
      <c r="J27" s="180" t="s">
        <v>31</v>
      </c>
      <c r="K27" s="180" t="s">
        <v>31</v>
      </c>
      <c r="L27" s="180" t="s">
        <v>31</v>
      </c>
      <c r="M27" s="180" t="s">
        <v>31</v>
      </c>
      <c r="N27" s="180" t="s">
        <v>31</v>
      </c>
      <c r="O27" s="180" t="s">
        <v>1371</v>
      </c>
      <c r="P27" s="59"/>
    </row>
    <row r="28" spans="1:16" ht="15.6">
      <c r="A28" t="s">
        <v>442</v>
      </c>
      <c r="B28" s="212">
        <f>B27</f>
        <v>1</v>
      </c>
      <c r="C28" t="s">
        <v>443</v>
      </c>
      <c r="D28" t="s">
        <v>37</v>
      </c>
      <c r="E28" s="188" t="s">
        <v>40</v>
      </c>
      <c r="F28" s="59" t="s">
        <v>1404</v>
      </c>
      <c r="G28" t="s">
        <v>82</v>
      </c>
      <c r="H28" t="s">
        <v>33</v>
      </c>
      <c r="I28" s="59">
        <v>0</v>
      </c>
      <c r="J28" s="180" t="s">
        <v>31</v>
      </c>
      <c r="K28" s="180" t="s">
        <v>31</v>
      </c>
      <c r="L28" s="180" t="s">
        <v>31</v>
      </c>
      <c r="M28" s="180" t="s">
        <v>31</v>
      </c>
      <c r="N28" s="180" t="s">
        <v>31</v>
      </c>
    </row>
    <row r="29" spans="1:16" ht="15.6">
      <c r="A29" t="s">
        <v>1372</v>
      </c>
      <c r="B29">
        <f>0.9*B28</f>
        <v>0.9</v>
      </c>
      <c r="D29" t="s">
        <v>37</v>
      </c>
      <c r="E29" s="188" t="s">
        <v>40</v>
      </c>
      <c r="F29" s="59" t="s">
        <v>1404</v>
      </c>
      <c r="G29" t="s">
        <v>59</v>
      </c>
      <c r="H29" t="s">
        <v>136</v>
      </c>
      <c r="I29" s="59">
        <v>0</v>
      </c>
      <c r="J29" s="180" t="s">
        <v>31</v>
      </c>
      <c r="K29" s="180" t="s">
        <v>31</v>
      </c>
      <c r="L29" s="180" t="s">
        <v>31</v>
      </c>
      <c r="M29" s="180" t="s">
        <v>31</v>
      </c>
      <c r="N29" s="180" t="s">
        <v>31</v>
      </c>
      <c r="O29" s="59" t="s">
        <v>1373</v>
      </c>
    </row>
    <row r="30" spans="1:16" ht="15.6">
      <c r="A30" t="s">
        <v>403</v>
      </c>
      <c r="B30" s="23">
        <f>-(1-B29)</f>
        <v>-9.9999999999999978E-2</v>
      </c>
      <c r="D30" t="s">
        <v>37</v>
      </c>
      <c r="E30" s="88" t="s">
        <v>40</v>
      </c>
      <c r="F30" s="59" t="s">
        <v>1404</v>
      </c>
      <c r="G30" t="s">
        <v>59</v>
      </c>
      <c r="H30" t="s">
        <v>33</v>
      </c>
      <c r="I30">
        <v>0</v>
      </c>
      <c r="J30" t="s">
        <v>31</v>
      </c>
      <c r="K30" t="s">
        <v>31</v>
      </c>
      <c r="L30" t="s">
        <v>31</v>
      </c>
      <c r="M30" t="s">
        <v>31</v>
      </c>
      <c r="N30" t="s">
        <v>31</v>
      </c>
      <c r="O30" s="17"/>
      <c r="P30" s="59"/>
    </row>
    <row r="31" spans="1:16" s="70" customFormat="1" ht="15.6">
      <c r="A31" s="178" t="s">
        <v>5</v>
      </c>
      <c r="B31" s="178" t="s">
        <v>1407</v>
      </c>
      <c r="C31" s="178"/>
      <c r="D31" s="69"/>
      <c r="E31" s="144"/>
      <c r="F31" s="144"/>
      <c r="G31" s="144"/>
      <c r="H31" s="144"/>
      <c r="I31" s="144"/>
      <c r="J31" s="144"/>
      <c r="K31" s="144"/>
      <c r="L31" s="144"/>
      <c r="M31" s="144"/>
      <c r="N31" s="144"/>
      <c r="O31" s="144"/>
      <c r="P31" s="144"/>
    </row>
    <row r="32" spans="1:16">
      <c r="A32" s="59" t="s">
        <v>7</v>
      </c>
      <c r="B32" s="59" t="s">
        <v>1362</v>
      </c>
      <c r="C32" s="59"/>
      <c r="D32" s="59"/>
      <c r="E32" s="59"/>
      <c r="F32" s="59"/>
      <c r="G32" s="59"/>
      <c r="H32" s="59"/>
      <c r="I32" s="59"/>
      <c r="J32" s="59"/>
      <c r="K32" s="59"/>
      <c r="L32" s="59"/>
      <c r="M32" s="59"/>
      <c r="N32" s="59"/>
      <c r="O32" s="59"/>
      <c r="P32" s="59"/>
    </row>
    <row r="33" spans="1:16">
      <c r="A33" s="59" t="s">
        <v>9</v>
      </c>
      <c r="B33" s="186" t="s">
        <v>1408</v>
      </c>
      <c r="C33" s="59"/>
      <c r="D33" s="59"/>
      <c r="E33" s="59"/>
      <c r="F33" s="59"/>
      <c r="G33" s="59"/>
      <c r="H33" s="59"/>
      <c r="I33" s="59"/>
      <c r="J33" s="59"/>
      <c r="K33" s="59"/>
      <c r="L33" s="59"/>
      <c r="M33" s="59"/>
      <c r="N33" s="59"/>
      <c r="O33" s="59"/>
      <c r="P33" s="59"/>
    </row>
    <row r="34" spans="1:16">
      <c r="A34" s="59" t="s">
        <v>11</v>
      </c>
      <c r="B34" s="59" t="s">
        <v>1403</v>
      </c>
      <c r="C34" s="59"/>
      <c r="D34" s="59"/>
      <c r="E34" s="59"/>
      <c r="F34" s="59"/>
      <c r="G34" s="59"/>
      <c r="H34" s="59"/>
      <c r="I34" s="59"/>
      <c r="J34" s="59"/>
      <c r="K34" s="59"/>
      <c r="L34" s="59"/>
      <c r="M34" s="59"/>
      <c r="N34" s="59"/>
      <c r="O34" s="59"/>
      <c r="P34" s="59"/>
    </row>
    <row r="35" spans="1:16">
      <c r="A35" s="59" t="s">
        <v>13</v>
      </c>
      <c r="B35" s="59" t="s">
        <v>59</v>
      </c>
      <c r="C35" s="59"/>
      <c r="D35" s="59"/>
      <c r="E35" s="59"/>
      <c r="F35" s="59"/>
      <c r="G35" s="59"/>
      <c r="H35" s="59"/>
      <c r="I35" s="59"/>
      <c r="J35" s="59"/>
      <c r="K35" s="59"/>
      <c r="L35" s="59"/>
      <c r="M35" s="59"/>
      <c r="N35" s="59"/>
      <c r="O35" s="59"/>
      <c r="P35" s="59"/>
    </row>
    <row r="36" spans="1:16">
      <c r="A36" s="59" t="s">
        <v>15</v>
      </c>
      <c r="B36" s="59">
        <v>1</v>
      </c>
      <c r="C36" s="59"/>
      <c r="D36" s="59"/>
      <c r="E36" s="59"/>
      <c r="F36" s="59"/>
      <c r="G36" s="59"/>
      <c r="H36" s="59"/>
      <c r="I36" s="59"/>
      <c r="J36" s="59"/>
      <c r="K36" s="59"/>
      <c r="L36" s="59"/>
      <c r="M36" s="59"/>
      <c r="N36" s="59"/>
      <c r="O36" s="59"/>
      <c r="P36" s="59"/>
    </row>
    <row r="37" spans="1:16">
      <c r="A37" s="59" t="s">
        <v>16</v>
      </c>
      <c r="B37" s="59" t="s">
        <v>17</v>
      </c>
      <c r="C37" s="59"/>
      <c r="D37" s="59"/>
      <c r="E37" s="59"/>
      <c r="F37" s="59"/>
      <c r="G37" s="59"/>
      <c r="H37" s="59"/>
      <c r="I37" s="59"/>
      <c r="J37" s="59"/>
      <c r="K37" s="59"/>
      <c r="L37" s="59"/>
      <c r="M37" s="59"/>
      <c r="N37" s="59"/>
      <c r="O37" s="59"/>
      <c r="P37" s="59"/>
    </row>
    <row r="38" spans="1:16" ht="15.6">
      <c r="A38" s="59" t="s">
        <v>18</v>
      </c>
      <c r="B38" s="180" t="s">
        <v>37</v>
      </c>
      <c r="C38" s="59"/>
      <c r="D38" s="59"/>
      <c r="E38" s="59" t="s">
        <v>235</v>
      </c>
      <c r="F38" s="59"/>
      <c r="G38" s="59"/>
      <c r="H38" s="59"/>
      <c r="I38" s="59"/>
      <c r="J38" s="59"/>
      <c r="K38" s="59"/>
      <c r="L38" s="59"/>
      <c r="M38" s="59"/>
      <c r="N38" s="59"/>
      <c r="O38" s="59"/>
      <c r="P38" s="59"/>
    </row>
    <row r="39" spans="1:16" ht="15.6">
      <c r="A39" s="181" t="s">
        <v>19</v>
      </c>
      <c r="B39" s="59"/>
      <c r="C39" s="59"/>
      <c r="D39" s="59"/>
      <c r="E39" s="59"/>
      <c r="F39" s="59"/>
      <c r="G39" s="59"/>
      <c r="H39" s="59"/>
      <c r="I39" s="59"/>
      <c r="J39" s="59"/>
      <c r="K39" s="59"/>
      <c r="L39" s="59"/>
      <c r="M39" s="59"/>
      <c r="N39" s="59"/>
      <c r="O39" s="59"/>
      <c r="P39" s="59"/>
    </row>
    <row r="40" spans="1:16" ht="15.6">
      <c r="A40" s="181" t="s">
        <v>20</v>
      </c>
      <c r="B40" s="181" t="s">
        <v>21</v>
      </c>
      <c r="C40" s="181" t="s">
        <v>217</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702</v>
      </c>
    </row>
    <row r="41" spans="1:16" ht="15.6">
      <c r="A41" s="180" t="str">
        <f>B31</f>
        <v>treatment of steel, H2 liquefaction, PEMFC-bat</v>
      </c>
      <c r="B41" s="180">
        <v>1</v>
      </c>
      <c r="C41" s="180"/>
      <c r="D41" s="180" t="s">
        <v>37</v>
      </c>
      <c r="E41" s="59" t="s">
        <v>2</v>
      </c>
      <c r="F41" s="59" t="s">
        <v>1404</v>
      </c>
      <c r="G41" s="180" t="s">
        <v>59</v>
      </c>
      <c r="H41" s="59" t="s">
        <v>30</v>
      </c>
      <c r="I41" s="59">
        <v>0</v>
      </c>
      <c r="J41" s="180" t="s">
        <v>31</v>
      </c>
      <c r="K41" s="180" t="s">
        <v>31</v>
      </c>
      <c r="L41" s="180" t="s">
        <v>31</v>
      </c>
      <c r="M41" s="180" t="s">
        <v>31</v>
      </c>
      <c r="N41" s="180" t="s">
        <v>31</v>
      </c>
      <c r="O41" s="180" t="s">
        <v>1376</v>
      </c>
      <c r="P41" s="59"/>
    </row>
    <row r="42" spans="1:16" ht="15.6">
      <c r="A42" t="s">
        <v>135</v>
      </c>
      <c r="B42" s="23">
        <v>0.85</v>
      </c>
      <c r="C42" s="180"/>
      <c r="D42" s="180" t="s">
        <v>37</v>
      </c>
      <c r="E42" s="88" t="s">
        <v>40</v>
      </c>
      <c r="F42" s="59" t="s">
        <v>1404</v>
      </c>
      <c r="G42" s="180" t="s">
        <v>82</v>
      </c>
      <c r="H42" s="59" t="s">
        <v>33</v>
      </c>
      <c r="I42" s="59">
        <v>0</v>
      </c>
      <c r="J42" s="180" t="s">
        <v>31</v>
      </c>
      <c r="K42" s="180" t="s">
        <v>31</v>
      </c>
      <c r="L42" s="180" t="s">
        <v>31</v>
      </c>
      <c r="M42" s="180" t="s">
        <v>31</v>
      </c>
      <c r="N42" s="180" t="s">
        <v>31</v>
      </c>
      <c r="O42" s="59"/>
      <c r="P42" s="59"/>
    </row>
    <row r="43" spans="1:16" ht="15.6">
      <c r="A43" t="s">
        <v>703</v>
      </c>
      <c r="B43" s="23">
        <f>0.9*B42</f>
        <v>0.76500000000000001</v>
      </c>
      <c r="C43" s="180"/>
      <c r="D43" s="180" t="s">
        <v>37</v>
      </c>
      <c r="E43" s="88" t="s">
        <v>40</v>
      </c>
      <c r="F43" s="59" t="s">
        <v>1404</v>
      </c>
      <c r="G43" s="180" t="s">
        <v>59</v>
      </c>
      <c r="H43" s="59" t="s">
        <v>136</v>
      </c>
      <c r="I43" s="59">
        <v>0</v>
      </c>
      <c r="J43" s="180" t="s">
        <v>31</v>
      </c>
      <c r="K43" s="180" t="s">
        <v>31</v>
      </c>
      <c r="L43" s="180" t="s">
        <v>31</v>
      </c>
      <c r="M43" s="180" t="s">
        <v>31</v>
      </c>
      <c r="N43" s="180" t="s">
        <v>31</v>
      </c>
      <c r="O43" s="59"/>
      <c r="P43" s="59" t="s">
        <v>1373</v>
      </c>
    </row>
    <row r="44" spans="1:16" ht="16.5" customHeight="1">
      <c r="A44" t="s">
        <v>403</v>
      </c>
      <c r="B44" s="23">
        <f>-(1-B43)</f>
        <v>-0.23499999999999999</v>
      </c>
      <c r="D44" t="s">
        <v>37</v>
      </c>
      <c r="E44" s="88" t="s">
        <v>40</v>
      </c>
      <c r="F44" s="59" t="s">
        <v>1404</v>
      </c>
      <c r="G44" t="s">
        <v>59</v>
      </c>
      <c r="H44" t="s">
        <v>33</v>
      </c>
      <c r="I44">
        <v>0</v>
      </c>
      <c r="J44" t="s">
        <v>31</v>
      </c>
      <c r="K44" t="s">
        <v>31</v>
      </c>
      <c r="L44" t="s">
        <v>31</v>
      </c>
      <c r="M44" t="s">
        <v>31</v>
      </c>
      <c r="N44" t="s">
        <v>31</v>
      </c>
      <c r="O44" s="17"/>
      <c r="P44" s="59" t="s">
        <v>1377</v>
      </c>
    </row>
    <row r="45" spans="1:16" s="70" customFormat="1" ht="15.6">
      <c r="A45" s="178" t="s">
        <v>5</v>
      </c>
      <c r="B45" s="178" t="s">
        <v>1409</v>
      </c>
      <c r="C45" s="178"/>
      <c r="D45" s="69"/>
      <c r="E45" s="144"/>
      <c r="F45" s="144"/>
      <c r="G45" s="144"/>
      <c r="H45" s="144"/>
      <c r="I45" s="144"/>
      <c r="J45" s="144"/>
      <c r="K45" s="144"/>
      <c r="L45" s="144"/>
      <c r="M45" s="144"/>
      <c r="N45" s="144"/>
      <c r="O45" s="144"/>
      <c r="P45" s="144"/>
    </row>
    <row r="46" spans="1:16">
      <c r="A46" s="59" t="s">
        <v>7</v>
      </c>
      <c r="B46" s="59" t="s">
        <v>1362</v>
      </c>
      <c r="C46" s="59"/>
      <c r="D46" s="59"/>
      <c r="E46" s="59"/>
      <c r="F46" s="59"/>
      <c r="G46" s="59"/>
      <c r="H46" s="59"/>
      <c r="I46" s="59"/>
      <c r="J46" s="59"/>
      <c r="K46" s="59"/>
      <c r="L46" s="59"/>
      <c r="M46" s="59"/>
      <c r="N46" s="59"/>
      <c r="O46" s="59"/>
      <c r="P46" s="59"/>
    </row>
    <row r="47" spans="1:16">
      <c r="A47" s="59" t="s">
        <v>9</v>
      </c>
      <c r="B47" s="186" t="s">
        <v>1410</v>
      </c>
      <c r="C47" s="59"/>
      <c r="D47" s="59"/>
      <c r="E47" s="59"/>
      <c r="F47" s="59"/>
      <c r="G47" s="59"/>
      <c r="H47" s="59"/>
      <c r="I47" s="59"/>
      <c r="J47" s="59"/>
      <c r="K47" s="59"/>
      <c r="L47" s="59"/>
      <c r="M47" s="59"/>
      <c r="N47" s="59"/>
      <c r="O47" s="59"/>
      <c r="P47" s="59"/>
    </row>
    <row r="48" spans="1:16">
      <c r="A48" s="59" t="s">
        <v>11</v>
      </c>
      <c r="B48" s="59" t="s">
        <v>1403</v>
      </c>
      <c r="C48" s="59"/>
      <c r="D48" s="59"/>
      <c r="E48" s="59"/>
      <c r="F48" s="59"/>
      <c r="G48" s="59"/>
      <c r="H48" s="59"/>
      <c r="I48" s="59"/>
      <c r="J48" s="59"/>
      <c r="K48" s="59"/>
      <c r="L48" s="59"/>
      <c r="M48" s="59"/>
      <c r="N48" s="59"/>
      <c r="O48" s="59"/>
      <c r="P48" s="59"/>
    </row>
    <row r="49" spans="1:16">
      <c r="A49" s="59" t="s">
        <v>13</v>
      </c>
      <c r="B49" s="59" t="s">
        <v>59</v>
      </c>
      <c r="C49" s="59"/>
      <c r="D49" s="59"/>
      <c r="E49" s="59"/>
      <c r="F49" s="59"/>
      <c r="G49" s="59"/>
      <c r="H49" s="59"/>
      <c r="I49" s="59"/>
      <c r="J49" s="59"/>
      <c r="K49" s="59"/>
      <c r="L49" s="59"/>
      <c r="M49" s="59"/>
      <c r="N49" s="59"/>
      <c r="O49" s="59"/>
      <c r="P49" s="59"/>
    </row>
    <row r="50" spans="1:16">
      <c r="A50" s="59" t="s">
        <v>15</v>
      </c>
      <c r="B50" s="59">
        <v>1</v>
      </c>
      <c r="C50" s="59"/>
      <c r="D50" s="59"/>
      <c r="E50" s="59"/>
      <c r="F50" s="59"/>
      <c r="G50" s="59"/>
      <c r="H50" s="59"/>
      <c r="I50" s="59"/>
      <c r="J50" s="59"/>
      <c r="K50" s="59"/>
      <c r="L50" s="59"/>
      <c r="M50" s="59"/>
      <c r="N50" s="59"/>
      <c r="O50" s="59"/>
      <c r="P50" s="59"/>
    </row>
    <row r="51" spans="1:16">
      <c r="A51" s="59" t="s">
        <v>16</v>
      </c>
      <c r="B51" s="59" t="s">
        <v>17</v>
      </c>
      <c r="C51" s="59"/>
      <c r="D51" s="59"/>
      <c r="E51" s="59"/>
      <c r="F51" s="59"/>
      <c r="G51" s="59"/>
      <c r="H51" s="59"/>
      <c r="I51" s="59"/>
      <c r="J51" s="59"/>
      <c r="K51" s="59"/>
      <c r="L51" s="59"/>
      <c r="M51" s="59"/>
      <c r="N51" s="59"/>
      <c r="O51" s="59"/>
      <c r="P51" s="59"/>
    </row>
    <row r="52" spans="1:16" ht="15.6">
      <c r="A52" s="59" t="s">
        <v>18</v>
      </c>
      <c r="B52" s="180" t="s">
        <v>37</v>
      </c>
      <c r="C52" s="59"/>
      <c r="D52" s="59"/>
      <c r="E52" s="59" t="s">
        <v>235</v>
      </c>
      <c r="F52" s="59"/>
      <c r="G52" s="59"/>
      <c r="H52" s="59"/>
      <c r="I52" s="59"/>
      <c r="J52" s="59"/>
      <c r="K52" s="59"/>
      <c r="L52" s="59"/>
      <c r="M52" s="59"/>
      <c r="N52" s="59"/>
      <c r="O52" s="59"/>
      <c r="P52" s="59"/>
    </row>
    <row r="53" spans="1:16" ht="15.6">
      <c r="A53" s="181" t="s">
        <v>19</v>
      </c>
      <c r="B53" s="59"/>
      <c r="C53" s="59"/>
      <c r="D53" s="59"/>
      <c r="E53" s="59"/>
      <c r="F53" s="59"/>
      <c r="G53" s="59"/>
      <c r="H53" s="59"/>
      <c r="I53" s="59"/>
      <c r="J53" s="59"/>
      <c r="K53" s="59"/>
      <c r="L53" s="59"/>
      <c r="M53" s="59"/>
      <c r="N53" s="59"/>
      <c r="O53" s="59"/>
      <c r="P53" s="59"/>
    </row>
    <row r="54" spans="1:16" ht="15.6">
      <c r="A54" s="181" t="s">
        <v>20</v>
      </c>
      <c r="B54" s="181" t="s">
        <v>21</v>
      </c>
      <c r="C54" s="181" t="s">
        <v>217</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702</v>
      </c>
    </row>
    <row r="55" spans="1:16" ht="15.6">
      <c r="A55" s="180" t="str">
        <f>B45</f>
        <v>treatment of concrete, H2 liquefaction, PEMFC-bat</v>
      </c>
      <c r="B55" s="180">
        <v>1</v>
      </c>
      <c r="C55" s="180"/>
      <c r="D55" s="180" t="s">
        <v>37</v>
      </c>
      <c r="E55" s="59" t="s">
        <v>2</v>
      </c>
      <c r="F55" s="59" t="s">
        <v>1404</v>
      </c>
      <c r="G55" s="180" t="s">
        <v>59</v>
      </c>
      <c r="H55" s="59" t="s">
        <v>30</v>
      </c>
      <c r="I55" s="59">
        <v>0</v>
      </c>
      <c r="J55" s="180" t="s">
        <v>31</v>
      </c>
      <c r="K55" s="180" t="s">
        <v>31</v>
      </c>
      <c r="L55" s="180" t="s">
        <v>31</v>
      </c>
      <c r="M55" s="180" t="s">
        <v>31</v>
      </c>
      <c r="N55" s="180" t="s">
        <v>31</v>
      </c>
      <c r="O55" s="180"/>
      <c r="P55" s="59"/>
    </row>
    <row r="56" spans="1:16" ht="15.6">
      <c r="A56" s="88" t="s">
        <v>1411</v>
      </c>
      <c r="B56">
        <v>-1</v>
      </c>
      <c r="D56" s="180" t="s">
        <v>37</v>
      </c>
      <c r="E56" s="59" t="s">
        <v>2</v>
      </c>
      <c r="F56" s="59" t="s">
        <v>1404</v>
      </c>
      <c r="G56" t="s">
        <v>82</v>
      </c>
      <c r="H56" t="s">
        <v>33</v>
      </c>
      <c r="I56" s="59">
        <v>0</v>
      </c>
      <c r="J56" s="180" t="s">
        <v>31</v>
      </c>
      <c r="K56" s="180" t="s">
        <v>31</v>
      </c>
      <c r="L56" s="180" t="s">
        <v>31</v>
      </c>
      <c r="M56" s="180" t="s">
        <v>31</v>
      </c>
      <c r="N56" s="180" t="s">
        <v>31</v>
      </c>
    </row>
    <row r="57" spans="1:16" s="70" customFormat="1" ht="15.6">
      <c r="A57" s="178" t="s">
        <v>5</v>
      </c>
      <c r="B57" s="178" t="s">
        <v>1401</v>
      </c>
      <c r="C57" s="178"/>
      <c r="D57" s="69"/>
      <c r="E57" s="144"/>
      <c r="F57" s="144"/>
      <c r="G57" s="144"/>
      <c r="H57" s="144"/>
      <c r="I57" s="144"/>
      <c r="J57" s="144"/>
      <c r="K57" s="144"/>
      <c r="L57" s="144"/>
      <c r="M57" s="144"/>
      <c r="N57" s="144"/>
      <c r="O57" s="144"/>
      <c r="P57" s="144"/>
    </row>
    <row r="58" spans="1:16">
      <c r="A58" s="59" t="s">
        <v>7</v>
      </c>
      <c r="B58" s="59" t="s">
        <v>1362</v>
      </c>
      <c r="C58" s="59"/>
      <c r="D58" s="59"/>
      <c r="E58" s="59"/>
      <c r="F58" s="59"/>
      <c r="G58" s="59"/>
      <c r="H58" s="59"/>
      <c r="I58" s="59"/>
      <c r="J58" s="59"/>
      <c r="K58" s="59"/>
      <c r="L58" s="59"/>
      <c r="M58" s="59"/>
      <c r="N58" s="59"/>
      <c r="O58" s="59"/>
      <c r="P58" s="59"/>
    </row>
    <row r="59" spans="1:16">
      <c r="A59" s="59" t="s">
        <v>9</v>
      </c>
      <c r="B59" s="186" t="s">
        <v>1412</v>
      </c>
      <c r="C59" s="59"/>
      <c r="D59" s="59"/>
      <c r="E59" s="59"/>
      <c r="F59" s="59"/>
      <c r="G59" s="59"/>
      <c r="H59" s="59"/>
      <c r="I59" s="59"/>
      <c r="J59" s="59"/>
      <c r="K59" s="59"/>
      <c r="L59" s="59"/>
      <c r="M59" s="59"/>
      <c r="N59" s="59"/>
      <c r="O59" s="59"/>
      <c r="P59" s="59"/>
    </row>
    <row r="60" spans="1:16">
      <c r="A60" s="59" t="s">
        <v>11</v>
      </c>
      <c r="B60" s="59" t="s">
        <v>1403</v>
      </c>
      <c r="C60" s="59"/>
      <c r="D60" s="59"/>
      <c r="E60" s="59"/>
      <c r="F60" s="59"/>
      <c r="G60" s="59"/>
      <c r="H60" s="59"/>
      <c r="I60" s="59"/>
      <c r="J60" s="59"/>
      <c r="K60" s="59"/>
      <c r="L60" s="59"/>
      <c r="M60" s="59"/>
      <c r="N60" s="59"/>
      <c r="O60" s="59"/>
      <c r="P60" s="59"/>
    </row>
    <row r="61" spans="1:16">
      <c r="A61" s="59" t="s">
        <v>13</v>
      </c>
      <c r="B61" s="59" t="s">
        <v>59</v>
      </c>
      <c r="C61" s="59"/>
      <c r="D61" s="59"/>
      <c r="E61" s="59"/>
      <c r="F61" s="59"/>
      <c r="G61" s="59"/>
      <c r="H61" s="59"/>
      <c r="I61" s="59"/>
      <c r="J61" s="59"/>
      <c r="K61" s="59"/>
      <c r="L61" s="59"/>
      <c r="M61" s="59"/>
      <c r="N61" s="59"/>
      <c r="O61" s="59"/>
      <c r="P61" s="59"/>
    </row>
    <row r="62" spans="1:16">
      <c r="A62" s="59" t="s">
        <v>15</v>
      </c>
      <c r="B62" s="59">
        <v>1</v>
      </c>
      <c r="C62" s="59"/>
      <c r="D62" s="59"/>
      <c r="E62" s="59"/>
      <c r="F62" s="59"/>
      <c r="G62" s="59"/>
      <c r="H62" s="59"/>
      <c r="I62" s="59"/>
      <c r="J62" s="59"/>
      <c r="K62" s="59"/>
      <c r="L62" s="59"/>
      <c r="M62" s="59"/>
      <c r="N62" s="59"/>
      <c r="O62" s="59"/>
      <c r="P62" s="59"/>
    </row>
    <row r="63" spans="1:16">
      <c r="A63" s="59" t="s">
        <v>16</v>
      </c>
      <c r="B63" s="59" t="s">
        <v>17</v>
      </c>
      <c r="C63" s="59"/>
      <c r="D63" s="59"/>
      <c r="E63" s="59"/>
      <c r="F63" s="59"/>
      <c r="G63" s="59"/>
      <c r="H63" s="59"/>
      <c r="I63" s="59"/>
      <c r="J63" s="59"/>
      <c r="K63" s="59"/>
      <c r="L63" s="59"/>
      <c r="M63" s="59"/>
      <c r="N63" s="59"/>
      <c r="O63" s="59"/>
      <c r="P63" s="59"/>
    </row>
    <row r="64" spans="1:16" ht="15.6">
      <c r="A64" s="59" t="s">
        <v>18</v>
      </c>
      <c r="B64" s="180" t="s">
        <v>18</v>
      </c>
      <c r="C64" s="59"/>
      <c r="D64" s="59"/>
      <c r="E64" s="59" t="s">
        <v>235</v>
      </c>
      <c r="F64" s="59"/>
      <c r="G64" s="59"/>
      <c r="H64" s="59"/>
      <c r="I64" s="59"/>
      <c r="J64" s="59"/>
      <c r="K64" s="59"/>
      <c r="L64" s="59"/>
      <c r="M64" s="59"/>
      <c r="N64" s="59"/>
      <c r="O64" s="59"/>
      <c r="P64" s="59"/>
    </row>
    <row r="65" spans="1:21" ht="15.6">
      <c r="A65" s="181" t="s">
        <v>19</v>
      </c>
      <c r="B65" s="59"/>
      <c r="C65" s="59"/>
      <c r="D65" s="59"/>
      <c r="E65" s="59"/>
      <c r="F65" s="59"/>
      <c r="G65" s="59"/>
      <c r="H65" s="59"/>
      <c r="I65" s="59"/>
      <c r="J65" s="59"/>
      <c r="K65" s="59"/>
      <c r="L65" s="59"/>
      <c r="M65" s="59"/>
      <c r="N65" s="59"/>
      <c r="O65" s="59"/>
      <c r="P65" s="59"/>
    </row>
    <row r="66" spans="1:21" ht="15.6">
      <c r="A66" s="181" t="s">
        <v>20</v>
      </c>
      <c r="B66" s="181" t="s">
        <v>21</v>
      </c>
      <c r="C66" s="181" t="s">
        <v>217</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702</v>
      </c>
    </row>
    <row r="67" spans="1:21" ht="15.6">
      <c r="A67" s="180" t="str">
        <f>B57</f>
        <v>treatment of H2 liquefaction system, H2 liquefaction, PEMFC-bat</v>
      </c>
      <c r="B67" s="180">
        <v>1</v>
      </c>
      <c r="C67" s="180"/>
      <c r="D67" s="180" t="s">
        <v>18</v>
      </c>
      <c r="E67" s="59" t="s">
        <v>2</v>
      </c>
      <c r="F67" s="59" t="s">
        <v>1404</v>
      </c>
      <c r="G67" s="180" t="s">
        <v>59</v>
      </c>
      <c r="H67" s="59" t="s">
        <v>30</v>
      </c>
      <c r="I67" s="59">
        <v>0</v>
      </c>
      <c r="J67" s="180" t="s">
        <v>31</v>
      </c>
      <c r="K67" s="180" t="s">
        <v>31</v>
      </c>
      <c r="L67" s="180" t="s">
        <v>31</v>
      </c>
      <c r="M67" s="180" t="s">
        <v>31</v>
      </c>
      <c r="N67" s="180" t="s">
        <v>31</v>
      </c>
      <c r="O67" s="180"/>
      <c r="P67" s="59"/>
    </row>
    <row r="68" spans="1:21" ht="15.6">
      <c r="A68" t="s">
        <v>1409</v>
      </c>
      <c r="B68">
        <f>T68</f>
        <v>53636</v>
      </c>
      <c r="D68" s="180" t="s">
        <v>37</v>
      </c>
      <c r="E68" t="s">
        <v>2</v>
      </c>
      <c r="F68" t="s">
        <v>1404</v>
      </c>
      <c r="G68" t="s">
        <v>59</v>
      </c>
      <c r="H68" t="s">
        <v>30</v>
      </c>
      <c r="I68">
        <v>0</v>
      </c>
      <c r="J68" t="s">
        <v>31</v>
      </c>
      <c r="K68" t="s">
        <v>31</v>
      </c>
      <c r="L68" t="s">
        <v>31</v>
      </c>
      <c r="M68" t="s">
        <v>31</v>
      </c>
      <c r="N68" t="s">
        <v>31</v>
      </c>
      <c r="P68" t="s">
        <v>1413</v>
      </c>
      <c r="S68" t="s">
        <v>1414</v>
      </c>
      <c r="T68">
        <f>23.32*2300</f>
        <v>53636</v>
      </c>
      <c r="U68" t="s">
        <v>241</v>
      </c>
    </row>
    <row r="69" spans="1:21" ht="15.6">
      <c r="A69" t="s">
        <v>1407</v>
      </c>
      <c r="B69">
        <v>975000</v>
      </c>
      <c r="D69" s="180" t="s">
        <v>37</v>
      </c>
      <c r="E69" t="s">
        <v>2</v>
      </c>
      <c r="F69" t="s">
        <v>1404</v>
      </c>
      <c r="G69" t="s">
        <v>59</v>
      </c>
      <c r="H69" t="s">
        <v>30</v>
      </c>
      <c r="I69">
        <v>0</v>
      </c>
      <c r="J69" t="s">
        <v>31</v>
      </c>
      <c r="K69" t="s">
        <v>31</v>
      </c>
      <c r="L69" t="s">
        <v>31</v>
      </c>
      <c r="M69" t="s">
        <v>31</v>
      </c>
      <c r="N69" t="s">
        <v>31</v>
      </c>
    </row>
    <row r="70" spans="1:21" ht="15.6">
      <c r="A70" t="s">
        <v>1405</v>
      </c>
      <c r="B70" s="27">
        <v>150000</v>
      </c>
      <c r="D70" s="180" t="s">
        <v>37</v>
      </c>
      <c r="E70" t="s">
        <v>2</v>
      </c>
      <c r="F70" t="s">
        <v>1404</v>
      </c>
      <c r="G70" t="s">
        <v>59</v>
      </c>
      <c r="H70" t="s">
        <v>30</v>
      </c>
      <c r="I70">
        <v>0</v>
      </c>
      <c r="J70" t="s">
        <v>31</v>
      </c>
      <c r="K70" t="s">
        <v>31</v>
      </c>
      <c r="L70" t="s">
        <v>31</v>
      </c>
      <c r="M70" t="s">
        <v>31</v>
      </c>
      <c r="N70" t="s">
        <v>31</v>
      </c>
    </row>
    <row r="71" spans="1:21" ht="15.6">
      <c r="A71" t="s">
        <v>1402</v>
      </c>
      <c r="B71" s="27">
        <v>140000</v>
      </c>
      <c r="D71" s="180" t="s">
        <v>37</v>
      </c>
      <c r="E71" t="s">
        <v>2</v>
      </c>
      <c r="F71" t="s">
        <v>1404</v>
      </c>
      <c r="G71" t="s">
        <v>59</v>
      </c>
      <c r="H71" t="s">
        <v>30</v>
      </c>
      <c r="I71">
        <v>0</v>
      </c>
      <c r="J71" t="s">
        <v>31</v>
      </c>
      <c r="K71" t="s">
        <v>31</v>
      </c>
      <c r="L71" t="s">
        <v>31</v>
      </c>
      <c r="M71" t="s">
        <v>31</v>
      </c>
      <c r="N71" t="s">
        <v>31</v>
      </c>
    </row>
    <row r="76" spans="1:21">
      <c r="A76" s="27"/>
      <c r="B76" s="27"/>
      <c r="C76" s="27"/>
      <c r="D76" s="27"/>
      <c r="E76" s="27"/>
      <c r="F76" s="27"/>
      <c r="G76" s="27"/>
      <c r="H76" s="27"/>
      <c r="I76" s="27"/>
      <c r="J76" s="27"/>
      <c r="K76" s="27"/>
      <c r="L76" s="27"/>
      <c r="M76" s="27"/>
      <c r="N76" s="27"/>
    </row>
    <row r="77" spans="1:21">
      <c r="A77" s="27"/>
      <c r="B77" s="27"/>
      <c r="C77" s="27"/>
      <c r="D77" s="27"/>
      <c r="E77" s="27"/>
      <c r="F77" s="27"/>
      <c r="G77" s="27"/>
      <c r="H77" s="27"/>
      <c r="I77" s="27"/>
      <c r="J77" s="27"/>
      <c r="K77" s="27"/>
      <c r="L77" s="27"/>
      <c r="M77" s="27"/>
    </row>
    <row r="78" spans="1:21">
      <c r="A78" s="27"/>
      <c r="B78" s="27"/>
      <c r="C78" s="27"/>
      <c r="D78" s="27"/>
      <c r="E78" s="27"/>
      <c r="F78" s="27"/>
      <c r="G78" s="27"/>
      <c r="H78" s="27"/>
      <c r="I78" s="27"/>
      <c r="J78" s="27"/>
      <c r="K78" s="27"/>
      <c r="L78" s="27"/>
      <c r="M78" s="27"/>
    </row>
    <row r="79" spans="1:21">
      <c r="A79" s="27"/>
      <c r="B79" s="27"/>
      <c r="C79" s="27"/>
      <c r="D79" s="27"/>
      <c r="E79" s="27"/>
      <c r="F79" s="27"/>
      <c r="G79" s="27"/>
      <c r="H79" s="27"/>
      <c r="I79" s="27"/>
      <c r="J79" s="27"/>
      <c r="K79" s="27"/>
      <c r="L79" s="27"/>
      <c r="M79" s="27"/>
    </row>
    <row r="80" spans="1:21">
      <c r="A80" s="27"/>
      <c r="B80" s="27"/>
      <c r="C80" s="27"/>
      <c r="D80" s="27"/>
      <c r="E80" s="27"/>
      <c r="F80" s="27"/>
      <c r="G80" s="27"/>
      <c r="H80" s="27"/>
      <c r="I80" s="27"/>
      <c r="J80" s="27"/>
      <c r="K80" s="27"/>
      <c r="L80" s="27"/>
      <c r="M80" s="27"/>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8EA88-C961-489F-AFA5-1DB80C3397D7}">
  <dimension ref="A1:O32"/>
  <sheetViews>
    <sheetView zoomScale="70" zoomScaleNormal="70" workbookViewId="0">
      <selection sqref="A1:B1"/>
    </sheetView>
  </sheetViews>
  <sheetFormatPr defaultRowHeight="14.45"/>
  <cols>
    <col min="1" max="1" width="44.42578125" bestFit="1" customWidth="1"/>
    <col min="2" max="2" width="54.28515625" bestFit="1" customWidth="1"/>
  </cols>
  <sheetData>
    <row r="1" spans="1:15">
      <c r="A1" s="24" t="s">
        <v>0</v>
      </c>
      <c r="B1" s="24">
        <v>13</v>
      </c>
      <c r="C1" s="25"/>
      <c r="D1" s="24"/>
      <c r="E1" s="24"/>
      <c r="F1" s="24"/>
      <c r="G1" s="24"/>
      <c r="H1" s="24"/>
      <c r="I1" s="24"/>
      <c r="J1" s="24"/>
      <c r="K1" s="24"/>
      <c r="L1" s="24"/>
      <c r="M1" s="24"/>
      <c r="N1" s="24"/>
      <c r="O1" s="27" t="str">
        <f ca="1">UPPER(CONCATENATE(DEC2HEX(RANDBETWEEN(0,POWER(16,8)),8),DEC2HEX(RANDBETWEEN(0,POWER(16,4)),4),"4",DEC2HEX(RANDBETWEEN(0,POWER(16,3)),3),DEC2HEX(RANDBETWEEN(8,11)),DEC2HEX(RANDBETWEEN(0,POWER(16,3)),3),DEC2HEX(RANDBETWEEN(0,POWER(16,8)),8),DEC2HEX(RANDBETWEEN(0,POWER(16,4)),4)))</f>
        <v>49C1772919424E06BBC878598B9B4C3C</v>
      </c>
    </row>
    <row r="2" spans="1:15" ht="15.6">
      <c r="A2" s="28" t="s">
        <v>5</v>
      </c>
      <c r="B2" s="28" t="s">
        <v>211</v>
      </c>
      <c r="C2" s="29"/>
      <c r="D2" s="30"/>
      <c r="E2" s="30"/>
      <c r="F2" s="30"/>
      <c r="G2" s="30"/>
      <c r="H2" s="30"/>
      <c r="I2" s="30"/>
      <c r="J2" s="30"/>
      <c r="K2" s="30"/>
      <c r="L2" s="30"/>
      <c r="M2" s="30"/>
      <c r="N2" s="30"/>
      <c r="O2" s="24"/>
    </row>
    <row r="3" spans="1:15">
      <c r="A3" s="27" t="s">
        <v>7</v>
      </c>
      <c r="B3" s="27" t="s">
        <v>184</v>
      </c>
      <c r="C3" s="27"/>
      <c r="D3" s="27"/>
      <c r="E3" s="27"/>
      <c r="F3" s="27"/>
      <c r="G3" s="27"/>
      <c r="H3" s="27"/>
      <c r="I3" s="27"/>
      <c r="J3" s="27"/>
      <c r="K3" s="27"/>
      <c r="L3" s="27"/>
      <c r="M3" s="27"/>
      <c r="N3" s="27"/>
      <c r="O3" s="27"/>
    </row>
    <row r="4" spans="1:15">
      <c r="A4" s="27" t="s">
        <v>9</v>
      </c>
      <c r="B4" s="27" t="s">
        <v>1415</v>
      </c>
      <c r="C4" s="27"/>
      <c r="D4" s="27"/>
      <c r="E4" s="27"/>
      <c r="F4" s="27"/>
      <c r="G4" s="27"/>
      <c r="H4" s="27"/>
      <c r="I4" s="27"/>
      <c r="J4" s="27"/>
      <c r="K4" s="27"/>
      <c r="L4" s="27"/>
      <c r="M4" s="27"/>
      <c r="N4" s="27"/>
      <c r="O4" s="27"/>
    </row>
    <row r="5" spans="1:15" ht="39">
      <c r="A5" s="27" t="s">
        <v>11</v>
      </c>
      <c r="B5" s="217" t="s">
        <v>1416</v>
      </c>
      <c r="C5" s="27"/>
      <c r="D5" s="27"/>
      <c r="E5" s="27"/>
      <c r="F5" s="27"/>
      <c r="G5" s="27"/>
      <c r="H5" s="27"/>
      <c r="I5" s="27"/>
      <c r="J5" s="27"/>
      <c r="K5" s="27"/>
      <c r="L5" s="27"/>
      <c r="M5" s="27"/>
      <c r="N5" s="27"/>
      <c r="O5" s="27"/>
    </row>
    <row r="6" spans="1:15">
      <c r="A6" s="27" t="s">
        <v>13</v>
      </c>
      <c r="B6" s="27" t="s">
        <v>14</v>
      </c>
      <c r="C6" s="27"/>
      <c r="D6" s="27"/>
      <c r="E6" s="27"/>
      <c r="F6" s="27"/>
      <c r="G6" s="27"/>
      <c r="H6" s="27"/>
      <c r="I6" s="27"/>
      <c r="J6" s="27"/>
      <c r="K6" s="27"/>
      <c r="L6" s="27"/>
      <c r="M6" s="27"/>
      <c r="N6" s="27"/>
      <c r="O6" s="27"/>
    </row>
    <row r="7" spans="1:15">
      <c r="A7" s="27" t="s">
        <v>15</v>
      </c>
      <c r="B7" s="37">
        <v>1</v>
      </c>
      <c r="C7" s="27"/>
      <c r="D7" s="27"/>
      <c r="E7" s="27"/>
      <c r="F7" s="27"/>
      <c r="G7" s="27"/>
      <c r="H7" s="27"/>
      <c r="I7" s="27"/>
      <c r="J7" s="27"/>
      <c r="K7" s="27"/>
      <c r="L7" s="27"/>
      <c r="M7" s="27"/>
      <c r="N7" s="27"/>
      <c r="O7" s="27"/>
    </row>
    <row r="8" spans="1:15">
      <c r="A8" s="27" t="s">
        <v>16</v>
      </c>
      <c r="B8" s="27" t="s">
        <v>17</v>
      </c>
      <c r="C8" s="27"/>
      <c r="D8" s="27"/>
      <c r="E8" s="27"/>
      <c r="F8" s="27"/>
      <c r="G8" s="27"/>
      <c r="H8" s="27"/>
      <c r="I8" s="27"/>
      <c r="J8" s="27"/>
      <c r="K8" s="27"/>
      <c r="L8" s="27"/>
      <c r="M8" s="27"/>
      <c r="N8" s="27"/>
      <c r="O8" s="27"/>
    </row>
    <row r="9" spans="1:15">
      <c r="A9" s="27" t="s">
        <v>18</v>
      </c>
      <c r="B9" s="27" t="s">
        <v>18</v>
      </c>
      <c r="C9" s="27"/>
      <c r="D9" s="27"/>
      <c r="E9" s="27"/>
      <c r="F9" s="27"/>
      <c r="G9" s="27"/>
      <c r="H9" s="27"/>
      <c r="I9" s="27"/>
      <c r="J9" s="27"/>
      <c r="K9" s="27"/>
      <c r="L9" s="27"/>
      <c r="M9" s="27"/>
      <c r="N9" s="27"/>
      <c r="O9" s="27"/>
    </row>
    <row r="10" spans="1:15" ht="15.6">
      <c r="A10" s="26" t="s">
        <v>19</v>
      </c>
      <c r="B10" s="24"/>
      <c r="C10" s="24"/>
      <c r="D10" s="24"/>
      <c r="E10" s="24"/>
      <c r="F10" s="24"/>
      <c r="G10" s="24"/>
      <c r="H10" s="24"/>
      <c r="I10" s="24"/>
      <c r="J10" s="24"/>
      <c r="K10" s="24"/>
      <c r="L10" s="24"/>
      <c r="M10" s="24"/>
      <c r="N10" s="24"/>
      <c r="O10" s="24"/>
    </row>
    <row r="11" spans="1:15"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c r="O11" s="24"/>
    </row>
    <row r="12" spans="1:15">
      <c r="A12" s="27" t="s">
        <v>211</v>
      </c>
      <c r="B12" s="27">
        <f>B7</f>
        <v>1</v>
      </c>
      <c r="C12" s="27" t="str">
        <f>B9</f>
        <v>unit</v>
      </c>
      <c r="D12" s="27" t="s">
        <v>2</v>
      </c>
      <c r="E12" s="27" t="s">
        <v>29</v>
      </c>
      <c r="F12" s="27" t="str">
        <f>B6</f>
        <v>EUR</v>
      </c>
      <c r="G12" s="27" t="s">
        <v>30</v>
      </c>
      <c r="H12" s="27">
        <v>0</v>
      </c>
      <c r="I12" s="27">
        <f>B12</f>
        <v>1</v>
      </c>
      <c r="J12" s="27" t="s">
        <v>31</v>
      </c>
      <c r="K12" s="27" t="s">
        <v>31</v>
      </c>
      <c r="L12" s="27" t="s">
        <v>31</v>
      </c>
      <c r="M12" s="27" t="s">
        <v>31</v>
      </c>
      <c r="N12" s="27"/>
      <c r="O12" s="27"/>
    </row>
    <row r="13" spans="1:15">
      <c r="A13" s="27" t="s">
        <v>1417</v>
      </c>
      <c r="B13" s="27">
        <f>1*48.8/1000</f>
        <v>4.8799999999999996E-2</v>
      </c>
      <c r="C13" s="27" t="s">
        <v>565</v>
      </c>
      <c r="D13" s="27" t="s">
        <v>40</v>
      </c>
      <c r="E13" s="27" t="s">
        <v>29</v>
      </c>
      <c r="F13" s="27" t="s">
        <v>249</v>
      </c>
      <c r="G13" s="27" t="s">
        <v>33</v>
      </c>
      <c r="H13" s="27">
        <v>0</v>
      </c>
      <c r="I13" s="27">
        <f>B13</f>
        <v>4.8799999999999996E-2</v>
      </c>
      <c r="J13" s="27" t="s">
        <v>31</v>
      </c>
      <c r="K13" s="27" t="s">
        <v>31</v>
      </c>
      <c r="L13" s="27" t="s">
        <v>31</v>
      </c>
      <c r="M13" s="27" t="s">
        <v>31</v>
      </c>
      <c r="N13" s="27"/>
      <c r="O13" s="27"/>
    </row>
    <row r="14" spans="1:15">
      <c r="A14" s="27" t="s">
        <v>1418</v>
      </c>
      <c r="B14" s="214">
        <v>9.6499999999999997E-8</v>
      </c>
      <c r="C14" s="27" t="s">
        <v>18</v>
      </c>
      <c r="D14" s="27" t="s">
        <v>2</v>
      </c>
      <c r="E14" s="27" t="s">
        <v>29</v>
      </c>
      <c r="F14" s="27" t="s">
        <v>14</v>
      </c>
      <c r="G14" s="27" t="s">
        <v>33</v>
      </c>
      <c r="H14" s="27">
        <v>0</v>
      </c>
      <c r="I14" s="27">
        <f>B14</f>
        <v>9.6499999999999997E-8</v>
      </c>
      <c r="J14" s="27" t="s">
        <v>31</v>
      </c>
      <c r="K14" s="27" t="s">
        <v>31</v>
      </c>
      <c r="L14" s="27" t="s">
        <v>31</v>
      </c>
      <c r="M14" s="27" t="s">
        <v>31</v>
      </c>
      <c r="N14" s="27" t="s">
        <v>1419</v>
      </c>
      <c r="O14" s="27"/>
    </row>
    <row r="15" spans="1:15" ht="15.6">
      <c r="A15" s="28" t="s">
        <v>5</v>
      </c>
      <c r="B15" s="28" t="s">
        <v>1418</v>
      </c>
      <c r="C15" s="29"/>
      <c r="D15" s="30"/>
      <c r="E15" s="30"/>
      <c r="F15" s="30"/>
      <c r="G15" s="30"/>
      <c r="H15" s="30"/>
      <c r="I15" s="30"/>
      <c r="J15" s="30"/>
      <c r="K15" s="30"/>
      <c r="L15" s="30"/>
      <c r="M15" s="30"/>
      <c r="N15" s="30"/>
    </row>
    <row r="16" spans="1:15">
      <c r="A16" s="27" t="s">
        <v>7</v>
      </c>
      <c r="B16" s="27" t="s">
        <v>184</v>
      </c>
      <c r="C16" s="27"/>
      <c r="D16" s="27"/>
      <c r="E16" s="27"/>
      <c r="F16" s="27"/>
      <c r="G16" s="27"/>
      <c r="H16" s="27"/>
      <c r="I16" s="27"/>
      <c r="J16" s="27"/>
      <c r="K16" s="27"/>
      <c r="L16" s="27"/>
      <c r="M16" s="27"/>
      <c r="N16" s="27"/>
    </row>
    <row r="17" spans="1:14">
      <c r="A17" s="27" t="s">
        <v>9</v>
      </c>
      <c r="B17" s="27" t="s">
        <v>1420</v>
      </c>
      <c r="C17" s="27"/>
      <c r="D17" s="27"/>
      <c r="E17" s="27"/>
      <c r="F17" s="27"/>
      <c r="G17" s="27"/>
      <c r="H17" s="27"/>
      <c r="I17" s="27"/>
      <c r="J17" s="27"/>
      <c r="K17" s="27"/>
      <c r="L17" s="27"/>
      <c r="M17" s="27"/>
      <c r="N17" s="27"/>
    </row>
    <row r="18" spans="1:14" ht="26.1">
      <c r="A18" s="27" t="s">
        <v>11</v>
      </c>
      <c r="B18" s="217" t="s">
        <v>1421</v>
      </c>
      <c r="C18" s="27"/>
      <c r="D18" s="27"/>
      <c r="E18" s="27"/>
      <c r="F18" s="27"/>
      <c r="G18" s="27"/>
      <c r="H18" s="27"/>
      <c r="I18" s="27"/>
      <c r="J18" s="27"/>
      <c r="K18" s="27"/>
      <c r="L18" s="27"/>
      <c r="M18" s="27"/>
      <c r="N18" s="27"/>
    </row>
    <row r="19" spans="1:14">
      <c r="A19" s="27" t="s">
        <v>13</v>
      </c>
      <c r="B19" s="27" t="s">
        <v>14</v>
      </c>
      <c r="C19" s="27"/>
      <c r="D19" s="27"/>
      <c r="E19" s="27"/>
      <c r="F19" s="27"/>
      <c r="G19" s="27"/>
      <c r="H19" s="27"/>
      <c r="I19" s="27"/>
      <c r="J19" s="27"/>
      <c r="K19" s="27"/>
      <c r="L19" s="27"/>
      <c r="M19" s="27"/>
      <c r="N19" s="27"/>
    </row>
    <row r="20" spans="1:14">
      <c r="A20" s="27" t="s">
        <v>15</v>
      </c>
      <c r="B20" s="37">
        <v>1</v>
      </c>
      <c r="C20" s="27"/>
      <c r="D20" s="27"/>
      <c r="E20" s="27"/>
      <c r="F20" s="27"/>
      <c r="G20" s="27"/>
      <c r="H20" s="27"/>
      <c r="I20" s="27"/>
      <c r="J20" s="27"/>
      <c r="K20" s="27"/>
      <c r="L20" s="27"/>
      <c r="M20" s="27"/>
      <c r="N20" s="27"/>
    </row>
    <row r="21" spans="1:14">
      <c r="A21" s="27" t="s">
        <v>16</v>
      </c>
      <c r="B21" s="27" t="s">
        <v>17</v>
      </c>
      <c r="C21" s="27"/>
      <c r="D21" s="27"/>
      <c r="E21" s="27"/>
      <c r="F21" s="27"/>
      <c r="G21" s="27"/>
      <c r="H21" s="27"/>
      <c r="I21" s="27"/>
      <c r="J21" s="27"/>
      <c r="K21" s="27"/>
      <c r="L21" s="27"/>
      <c r="M21" s="27"/>
      <c r="N21" s="27"/>
    </row>
    <row r="22" spans="1:14">
      <c r="A22" s="27" t="s">
        <v>18</v>
      </c>
      <c r="B22" s="27" t="s">
        <v>18</v>
      </c>
      <c r="C22" s="27"/>
      <c r="D22" s="27"/>
      <c r="E22" s="27"/>
      <c r="F22" s="27"/>
      <c r="G22" s="27"/>
      <c r="H22" s="27"/>
      <c r="I22" s="27"/>
      <c r="J22" s="27"/>
      <c r="K22" s="27"/>
      <c r="L22" s="27"/>
      <c r="M22" s="27"/>
      <c r="N22" s="27"/>
    </row>
    <row r="23" spans="1:14" ht="15.6">
      <c r="A23" s="26" t="s">
        <v>19</v>
      </c>
      <c r="B23" s="24"/>
      <c r="C23" s="24"/>
      <c r="D23" s="24"/>
      <c r="E23" s="24"/>
      <c r="F23" s="24"/>
      <c r="G23" s="24"/>
      <c r="H23" s="24"/>
      <c r="I23" s="24"/>
      <c r="J23" s="24"/>
      <c r="K23" s="24"/>
      <c r="L23" s="24"/>
      <c r="M23" s="24"/>
      <c r="N23" s="24"/>
    </row>
    <row r="24" spans="1:14" ht="15.6">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187</v>
      </c>
    </row>
    <row r="25" spans="1:14">
      <c r="A25" s="27" t="s">
        <v>1418</v>
      </c>
      <c r="B25" s="27">
        <v>1</v>
      </c>
      <c r="C25" s="27" t="str">
        <f>B22</f>
        <v>unit</v>
      </c>
      <c r="D25" s="27" t="s">
        <v>2</v>
      </c>
      <c r="E25" s="27" t="s">
        <v>29</v>
      </c>
      <c r="F25" s="27" t="str">
        <f>B19</f>
        <v>EUR</v>
      </c>
      <c r="G25" s="27" t="s">
        <v>30</v>
      </c>
      <c r="H25" s="27">
        <v>0</v>
      </c>
      <c r="I25" s="27">
        <f>B25</f>
        <v>1</v>
      </c>
      <c r="J25" s="27" t="s">
        <v>31</v>
      </c>
      <c r="K25" s="27" t="s">
        <v>31</v>
      </c>
      <c r="L25" s="27" t="s">
        <v>31</v>
      </c>
      <c r="M25" s="27" t="s">
        <v>31</v>
      </c>
      <c r="N25" s="27"/>
    </row>
    <row r="26" spans="1:14">
      <c r="A26" s="27" t="s">
        <v>85</v>
      </c>
      <c r="B26" s="27">
        <v>3141</v>
      </c>
      <c r="C26" s="27" t="s">
        <v>37</v>
      </c>
      <c r="D26" s="27" t="s">
        <v>40</v>
      </c>
      <c r="E26" s="27" t="s">
        <v>29</v>
      </c>
      <c r="F26" s="27" t="s">
        <v>59</v>
      </c>
      <c r="G26" s="27" t="s">
        <v>33</v>
      </c>
      <c r="H26" s="27">
        <v>5</v>
      </c>
      <c r="I26" s="27">
        <f>B26</f>
        <v>3141</v>
      </c>
      <c r="J26" s="27" t="s">
        <v>31</v>
      </c>
      <c r="K26" s="27" t="s">
        <v>31</v>
      </c>
      <c r="L26" s="27">
        <f>I26*0.9</f>
        <v>2826.9</v>
      </c>
      <c r="M26" s="27">
        <f>I26*1.1</f>
        <v>3455.1000000000004</v>
      </c>
      <c r="N26" s="27"/>
    </row>
    <row r="27" spans="1:14">
      <c r="A27" s="27" t="s">
        <v>348</v>
      </c>
      <c r="B27" s="27">
        <v>3141</v>
      </c>
      <c r="C27" s="27" t="s">
        <v>37</v>
      </c>
      <c r="D27" s="27" t="s">
        <v>40</v>
      </c>
      <c r="E27" s="27" t="s">
        <v>29</v>
      </c>
      <c r="F27" s="27" t="s">
        <v>59</v>
      </c>
      <c r="G27" s="27" t="s">
        <v>33</v>
      </c>
      <c r="H27" s="27">
        <v>5</v>
      </c>
      <c r="I27" s="27">
        <f t="shared" ref="I27:I28" si="0">B27</f>
        <v>3141</v>
      </c>
      <c r="J27" s="27" t="s">
        <v>31</v>
      </c>
      <c r="K27" s="27" t="s">
        <v>31</v>
      </c>
      <c r="L27" s="27">
        <f>I27*0.9</f>
        <v>2826.9</v>
      </c>
      <c r="M27" s="27">
        <f>I27*1.1</f>
        <v>3455.1000000000004</v>
      </c>
      <c r="N27" s="27"/>
    </row>
    <row r="28" spans="1:14">
      <c r="A28" s="27" t="s">
        <v>627</v>
      </c>
      <c r="B28" s="27">
        <v>2256</v>
      </c>
      <c r="C28" s="27" t="s">
        <v>37</v>
      </c>
      <c r="D28" s="27" t="s">
        <v>40</v>
      </c>
      <c r="E28" s="27" t="s">
        <v>29</v>
      </c>
      <c r="F28" s="27" t="s">
        <v>35</v>
      </c>
      <c r="G28" s="27" t="s">
        <v>33</v>
      </c>
      <c r="H28" s="27">
        <v>5</v>
      </c>
      <c r="I28" s="27">
        <f t="shared" si="0"/>
        <v>2256</v>
      </c>
      <c r="J28" s="27" t="s">
        <v>31</v>
      </c>
      <c r="K28" s="27" t="s">
        <v>31</v>
      </c>
      <c r="L28" s="27">
        <f>I28*0.9</f>
        <v>2030.4</v>
      </c>
      <c r="M28" s="27">
        <f>I28*1.1</f>
        <v>2481.6000000000004</v>
      </c>
      <c r="N28" s="27"/>
    </row>
    <row r="29" spans="1:14">
      <c r="A29" s="27" t="s">
        <v>38</v>
      </c>
      <c r="B29" s="27">
        <v>1890</v>
      </c>
      <c r="C29" s="27" t="s">
        <v>39</v>
      </c>
      <c r="D29" s="27" t="s">
        <v>40</v>
      </c>
      <c r="E29" s="27" t="s">
        <v>29</v>
      </c>
      <c r="F29" s="27" t="s">
        <v>14</v>
      </c>
      <c r="G29" s="27" t="s">
        <v>33</v>
      </c>
      <c r="H29" s="27">
        <v>0</v>
      </c>
      <c r="I29" s="27">
        <f>B29</f>
        <v>1890</v>
      </c>
      <c r="J29" s="27" t="s">
        <v>31</v>
      </c>
      <c r="K29" s="27" t="s">
        <v>31</v>
      </c>
      <c r="L29" s="27" t="s">
        <v>31</v>
      </c>
      <c r="M29" s="27" t="s">
        <v>31</v>
      </c>
    </row>
    <row r="30" spans="1:14">
      <c r="A30" t="s">
        <v>1422</v>
      </c>
      <c r="B30" s="27">
        <v>1</v>
      </c>
      <c r="C30" s="27" t="s">
        <v>18</v>
      </c>
      <c r="D30" s="27" t="s">
        <v>40</v>
      </c>
      <c r="E30" s="27" t="s">
        <v>29</v>
      </c>
      <c r="F30" s="27" t="s">
        <v>59</v>
      </c>
      <c r="G30" s="27" t="s">
        <v>33</v>
      </c>
      <c r="H30" s="27">
        <v>0</v>
      </c>
      <c r="I30" s="27">
        <f t="shared" ref="I30" si="1">B30</f>
        <v>1</v>
      </c>
      <c r="J30" s="27" t="s">
        <v>31</v>
      </c>
      <c r="K30" s="27" t="s">
        <v>31</v>
      </c>
      <c r="L30" s="27" t="s">
        <v>31</v>
      </c>
      <c r="M30" s="27" t="s">
        <v>31</v>
      </c>
    </row>
    <row r="32" spans="1:14">
      <c r="E32" s="27"/>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A15" sqref="A15"/>
    </sheetView>
  </sheetViews>
  <sheetFormatPr defaultRowHeight="14.4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18" t="s">
        <v>5</v>
      </c>
      <c r="B2" s="19" t="s">
        <v>55</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153</v>
      </c>
      <c r="C4" s="4"/>
      <c r="D4" s="13"/>
      <c r="E4" s="13"/>
      <c r="F4" s="13"/>
      <c r="G4" s="13"/>
      <c r="H4" s="13"/>
      <c r="I4" s="13"/>
      <c r="J4" s="13"/>
      <c r="K4" s="13"/>
      <c r="L4" s="13"/>
      <c r="M4" s="13"/>
    </row>
    <row r="5" spans="1:13" ht="29.1">
      <c r="A5" s="12" t="s">
        <v>11</v>
      </c>
      <c r="B5" s="14" t="s">
        <v>154</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55</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155</v>
      </c>
      <c r="B13" s="13">
        <v>79.199860000000015</v>
      </c>
      <c r="C13" s="13" t="s">
        <v>37</v>
      </c>
      <c r="D13" s="13" t="s">
        <v>40</v>
      </c>
      <c r="E13" s="13" t="s">
        <v>29</v>
      </c>
      <c r="F13" s="13" t="s">
        <v>82</v>
      </c>
      <c r="G13" s="13" t="s">
        <v>33</v>
      </c>
      <c r="H13" s="13">
        <v>2</v>
      </c>
      <c r="I13" s="13">
        <f>LN(B13)</f>
        <v>4.3719745311420501</v>
      </c>
      <c r="J13" s="13">
        <v>0.24207436873820401</v>
      </c>
      <c r="K13" s="13" t="s">
        <v>31</v>
      </c>
      <c r="L13" s="13" t="s">
        <v>31</v>
      </c>
      <c r="M13" s="13" t="s">
        <v>31</v>
      </c>
    </row>
    <row r="14" spans="1:13">
      <c r="A14" s="12" t="s">
        <v>156</v>
      </c>
      <c r="B14" s="13">
        <v>467.97572000000002</v>
      </c>
      <c r="C14" s="13" t="s">
        <v>37</v>
      </c>
      <c r="D14" s="13" t="s">
        <v>40</v>
      </c>
      <c r="E14" s="13" t="s">
        <v>29</v>
      </c>
      <c r="F14" s="13" t="s">
        <v>59</v>
      </c>
      <c r="G14" s="13" t="s">
        <v>33</v>
      </c>
      <c r="H14" s="13">
        <v>2</v>
      </c>
      <c r="I14" s="13">
        <f>LN(B14)</f>
        <v>6.1484164142299349</v>
      </c>
      <c r="J14" s="13">
        <v>0.24207436873820401</v>
      </c>
      <c r="K14" s="13" t="s">
        <v>31</v>
      </c>
      <c r="L14" s="13" t="s">
        <v>31</v>
      </c>
      <c r="M14" s="13" t="s">
        <v>31</v>
      </c>
    </row>
    <row r="15" spans="1:13">
      <c r="A15" s="12" t="s">
        <v>98</v>
      </c>
      <c r="B15" s="13">
        <v>742.72442000000001</v>
      </c>
      <c r="C15" s="13" t="s">
        <v>37</v>
      </c>
      <c r="D15" s="13" t="s">
        <v>40</v>
      </c>
      <c r="E15" s="13" t="s">
        <v>29</v>
      </c>
      <c r="F15" s="13" t="s">
        <v>59</v>
      </c>
      <c r="G15" s="13" t="s">
        <v>33</v>
      </c>
      <c r="H15" s="13">
        <v>2</v>
      </c>
      <c r="I15" s="13">
        <f>LN(B15)</f>
        <v>6.6103250741670285</v>
      </c>
      <c r="J15" s="13">
        <v>0.24207436873820401</v>
      </c>
      <c r="K15" s="13" t="s">
        <v>31</v>
      </c>
      <c r="L15" s="13" t="s">
        <v>31</v>
      </c>
      <c r="M15" s="13" t="s">
        <v>31</v>
      </c>
    </row>
  </sheetData>
  <pageMargins left="0.7" right="0.7" top="0.75" bottom="0.75" header="0.3" footer="0.3"/>
  <pageSetup paperSize="9" orientation="portrait" verticalDpi="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D2F9F-53A4-47EE-8269-811524B21982}">
  <dimension ref="A1:P42"/>
  <sheetViews>
    <sheetView zoomScale="85" zoomScaleNormal="85" workbookViewId="0">
      <selection sqref="A1:B1"/>
    </sheetView>
  </sheetViews>
  <sheetFormatPr defaultRowHeight="14.45"/>
  <cols>
    <col min="1" max="1" width="73.7109375" bestFit="1" customWidth="1"/>
  </cols>
  <sheetData>
    <row r="1" spans="1:16">
      <c r="A1" t="s">
        <v>0</v>
      </c>
      <c r="B1">
        <v>14</v>
      </c>
    </row>
    <row r="2" spans="1:16" s="70" customFormat="1" ht="15.6">
      <c r="A2" s="178" t="s">
        <v>5</v>
      </c>
      <c r="B2" s="178" t="s">
        <v>1423</v>
      </c>
      <c r="C2" s="178"/>
      <c r="D2" s="69"/>
      <c r="E2" s="144"/>
      <c r="F2" s="144"/>
      <c r="G2" s="144"/>
      <c r="H2" s="144"/>
      <c r="I2" s="144"/>
      <c r="J2" s="144"/>
      <c r="K2" s="144"/>
      <c r="L2" s="144"/>
      <c r="M2" s="144"/>
      <c r="N2" s="144"/>
      <c r="O2" s="144"/>
      <c r="P2" s="144"/>
    </row>
    <row r="3" spans="1:16">
      <c r="A3" s="59" t="s">
        <v>7</v>
      </c>
      <c r="B3" s="59" t="s">
        <v>1362</v>
      </c>
      <c r="C3" s="59"/>
      <c r="D3" s="59"/>
      <c r="E3" s="59"/>
      <c r="F3" s="59"/>
      <c r="G3" s="59"/>
      <c r="H3" s="59"/>
      <c r="I3" s="59"/>
      <c r="J3" s="59"/>
      <c r="K3" s="59"/>
      <c r="L3" s="59"/>
      <c r="M3" s="59"/>
      <c r="N3" s="59"/>
      <c r="O3" s="59"/>
      <c r="P3" s="59"/>
    </row>
    <row r="4" spans="1:16">
      <c r="A4" s="59" t="s">
        <v>9</v>
      </c>
      <c r="B4" s="186" t="s">
        <v>1424</v>
      </c>
      <c r="C4" s="59"/>
      <c r="D4" s="59"/>
      <c r="E4" s="59"/>
      <c r="F4" s="59"/>
      <c r="G4" s="59"/>
      <c r="H4" s="59"/>
      <c r="I4" s="59"/>
      <c r="J4" s="59"/>
      <c r="K4" s="59"/>
      <c r="L4" s="59"/>
      <c r="M4" s="59"/>
      <c r="N4" s="59"/>
      <c r="O4" s="59"/>
      <c r="P4" s="59"/>
    </row>
    <row r="5" spans="1:16">
      <c r="A5" s="59" t="s">
        <v>11</v>
      </c>
      <c r="B5" s="59" t="s">
        <v>1403</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ht="15.6">
      <c r="A9" s="59" t="s">
        <v>18</v>
      </c>
      <c r="B9" s="180" t="s">
        <v>37</v>
      </c>
      <c r="C9" s="59"/>
      <c r="D9" s="59"/>
      <c r="E9" s="59" t="s">
        <v>235</v>
      </c>
      <c r="F9" s="59"/>
      <c r="G9" s="59"/>
      <c r="H9" s="59"/>
      <c r="I9" s="59"/>
      <c r="J9" s="59"/>
      <c r="K9" s="59"/>
      <c r="L9" s="59"/>
      <c r="M9" s="59"/>
      <c r="N9" s="59"/>
      <c r="O9" s="59"/>
      <c r="P9" s="59"/>
    </row>
    <row r="10" spans="1:16" ht="15.6">
      <c r="A10" s="181" t="s">
        <v>19</v>
      </c>
      <c r="B10" s="59"/>
      <c r="C10" s="59"/>
      <c r="D10" s="59"/>
      <c r="E10" s="59"/>
      <c r="F10" s="59"/>
      <c r="G10" s="59"/>
      <c r="H10" s="59"/>
      <c r="I10" s="59"/>
      <c r="J10" s="59"/>
      <c r="K10" s="59"/>
      <c r="L10" s="59"/>
      <c r="M10" s="59"/>
      <c r="N10" s="59"/>
      <c r="O10" s="59"/>
      <c r="P10" s="59"/>
    </row>
    <row r="11" spans="1:16"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6">
      <c r="A12" s="180" t="str">
        <f>B2</f>
        <v>treatment of aluminium, H2 storage tank (transport), PEMFC-bat</v>
      </c>
      <c r="B12" s="180">
        <v>1</v>
      </c>
      <c r="C12" s="180"/>
      <c r="D12" s="180" t="s">
        <v>37</v>
      </c>
      <c r="E12" s="59" t="s">
        <v>2</v>
      </c>
      <c r="F12" s="59" t="s">
        <v>1425</v>
      </c>
      <c r="G12" s="180" t="s">
        <v>59</v>
      </c>
      <c r="H12" s="59" t="s">
        <v>30</v>
      </c>
      <c r="I12" s="59">
        <v>0</v>
      </c>
      <c r="J12" s="180" t="s">
        <v>31</v>
      </c>
      <c r="K12" s="180" t="s">
        <v>31</v>
      </c>
      <c r="L12" s="180" t="s">
        <v>31</v>
      </c>
      <c r="M12" s="180" t="s">
        <v>31</v>
      </c>
      <c r="N12" s="180" t="s">
        <v>31</v>
      </c>
      <c r="O12" s="180" t="s">
        <v>1366</v>
      </c>
      <c r="P12" s="59"/>
    </row>
    <row r="13" spans="1:16" ht="15.6">
      <c r="A13" t="s">
        <v>263</v>
      </c>
      <c r="B13" s="23">
        <v>0.85</v>
      </c>
      <c r="C13" s="180"/>
      <c r="D13" s="180" t="s">
        <v>37</v>
      </c>
      <c r="E13" s="37" t="s">
        <v>40</v>
      </c>
      <c r="F13" s="59" t="s">
        <v>1425</v>
      </c>
      <c r="G13" s="180" t="s">
        <v>82</v>
      </c>
      <c r="H13" s="59" t="s">
        <v>33</v>
      </c>
      <c r="I13" s="59">
        <v>0</v>
      </c>
      <c r="J13" s="180" t="s">
        <v>31</v>
      </c>
      <c r="K13" s="180" t="s">
        <v>31</v>
      </c>
      <c r="L13" s="180" t="s">
        <v>31</v>
      </c>
      <c r="M13" s="180" t="s">
        <v>31</v>
      </c>
      <c r="N13" s="180" t="s">
        <v>31</v>
      </c>
      <c r="O13" s="59"/>
      <c r="P13" s="59"/>
    </row>
    <row r="14" spans="1:16" ht="15.6">
      <c r="A14" t="s">
        <v>265</v>
      </c>
      <c r="B14" s="23">
        <v>0.85</v>
      </c>
      <c r="C14" s="22" t="s">
        <v>266</v>
      </c>
      <c r="D14" t="s">
        <v>37</v>
      </c>
      <c r="E14" s="188" t="s">
        <v>40</v>
      </c>
      <c r="F14" s="59" t="s">
        <v>1425</v>
      </c>
      <c r="G14" s="180" t="s">
        <v>82</v>
      </c>
      <c r="H14" s="59" t="s">
        <v>33</v>
      </c>
      <c r="I14" s="59">
        <v>0</v>
      </c>
      <c r="J14" s="180" t="s">
        <v>31</v>
      </c>
      <c r="K14" s="180" t="s">
        <v>31</v>
      </c>
      <c r="L14" s="180" t="s">
        <v>31</v>
      </c>
      <c r="M14" s="180" t="s">
        <v>31</v>
      </c>
      <c r="N14" s="180" t="s">
        <v>31</v>
      </c>
      <c r="O14" s="180" t="s">
        <v>1367</v>
      </c>
    </row>
    <row r="15" spans="1:16" ht="15.6">
      <c r="A15" t="s">
        <v>347</v>
      </c>
      <c r="B15" s="23">
        <f>B14*0.9</f>
        <v>0.76500000000000001</v>
      </c>
      <c r="D15" t="s">
        <v>37</v>
      </c>
      <c r="E15" s="188" t="s">
        <v>40</v>
      </c>
      <c r="F15" s="59" t="s">
        <v>1425</v>
      </c>
      <c r="G15" t="s">
        <v>59</v>
      </c>
      <c r="H15" s="59" t="s">
        <v>136</v>
      </c>
      <c r="I15" s="59">
        <v>0</v>
      </c>
      <c r="J15" s="180" t="s">
        <v>31</v>
      </c>
      <c r="K15" s="180" t="s">
        <v>31</v>
      </c>
      <c r="L15" s="180" t="s">
        <v>31</v>
      </c>
      <c r="M15" s="180" t="s">
        <v>31</v>
      </c>
      <c r="N15" s="180" t="s">
        <v>31</v>
      </c>
      <c r="O15" s="59"/>
      <c r="P15" s="180" t="s">
        <v>1368</v>
      </c>
    </row>
    <row r="16" spans="1:16" ht="15.6">
      <c r="A16" t="s">
        <v>403</v>
      </c>
      <c r="B16" s="23">
        <f>-(1-B15)</f>
        <v>-0.23499999999999999</v>
      </c>
      <c r="D16" t="s">
        <v>37</v>
      </c>
      <c r="E16" s="88" t="s">
        <v>40</v>
      </c>
      <c r="F16" s="59" t="s">
        <v>1425</v>
      </c>
      <c r="G16" t="s">
        <v>59</v>
      </c>
      <c r="H16" t="s">
        <v>33</v>
      </c>
      <c r="I16">
        <v>0</v>
      </c>
      <c r="J16" t="s">
        <v>31</v>
      </c>
      <c r="K16" t="s">
        <v>31</v>
      </c>
      <c r="L16" t="s">
        <v>31</v>
      </c>
      <c r="M16" t="s">
        <v>31</v>
      </c>
      <c r="N16" t="s">
        <v>31</v>
      </c>
      <c r="O16" s="17"/>
      <c r="P16" s="59"/>
    </row>
    <row r="17" spans="1:16" s="70" customFormat="1" ht="15.6">
      <c r="A17" s="178" t="s">
        <v>5</v>
      </c>
      <c r="B17" s="178" t="s">
        <v>1426</v>
      </c>
      <c r="C17" s="178"/>
      <c r="D17" s="69"/>
      <c r="E17" s="144"/>
      <c r="F17" s="144"/>
      <c r="G17" s="144"/>
      <c r="H17" s="144"/>
      <c r="I17" s="144"/>
      <c r="J17" s="144"/>
      <c r="K17" s="144"/>
      <c r="L17" s="144"/>
      <c r="M17" s="144"/>
      <c r="N17" s="144"/>
      <c r="O17" s="144"/>
      <c r="P17" s="144"/>
    </row>
    <row r="18" spans="1:16">
      <c r="A18" s="59" t="s">
        <v>7</v>
      </c>
      <c r="B18" s="59" t="s">
        <v>1362</v>
      </c>
      <c r="C18" s="59"/>
      <c r="D18" s="59"/>
      <c r="E18" s="59"/>
      <c r="F18" s="59"/>
      <c r="G18" s="59"/>
      <c r="H18" s="59"/>
      <c r="I18" s="59"/>
      <c r="J18" s="59"/>
      <c r="K18" s="59"/>
      <c r="L18" s="59"/>
      <c r="M18" s="59"/>
      <c r="N18" s="59"/>
      <c r="O18" s="59"/>
      <c r="P18" s="59"/>
    </row>
    <row r="19" spans="1:16">
      <c r="A19" s="59" t="s">
        <v>9</v>
      </c>
      <c r="B19" s="186" t="s">
        <v>1427</v>
      </c>
      <c r="C19" s="59"/>
      <c r="D19" s="59"/>
      <c r="E19" s="59"/>
      <c r="F19" s="59"/>
      <c r="G19" s="59"/>
      <c r="H19" s="59"/>
      <c r="I19" s="59"/>
      <c r="J19" s="59"/>
      <c r="K19" s="59"/>
      <c r="L19" s="59"/>
      <c r="M19" s="59"/>
      <c r="N19" s="59"/>
      <c r="O19" s="59"/>
      <c r="P19" s="59"/>
    </row>
    <row r="20" spans="1:16">
      <c r="A20" s="59" t="s">
        <v>11</v>
      </c>
      <c r="B20" s="59" t="s">
        <v>1380</v>
      </c>
      <c r="C20" s="59"/>
      <c r="D20" s="59"/>
      <c r="E20" s="59"/>
      <c r="F20" s="59"/>
      <c r="G20" s="59"/>
      <c r="H20" s="59"/>
      <c r="I20" s="59"/>
      <c r="J20" s="59"/>
      <c r="K20" s="59"/>
      <c r="L20" s="59"/>
      <c r="M20" s="59"/>
      <c r="N20" s="59"/>
      <c r="O20" s="59"/>
      <c r="P20" s="59"/>
    </row>
    <row r="21" spans="1:16">
      <c r="A21" s="59" t="s">
        <v>13</v>
      </c>
      <c r="B21" s="59" t="s">
        <v>59</v>
      </c>
      <c r="C21" s="59"/>
      <c r="D21" s="59"/>
      <c r="E21" s="59"/>
      <c r="F21" s="59"/>
      <c r="G21" s="59"/>
      <c r="H21" s="59"/>
      <c r="I21" s="59"/>
      <c r="J21" s="59"/>
      <c r="K21" s="59"/>
      <c r="L21" s="59"/>
      <c r="M21" s="59"/>
      <c r="N21" s="59"/>
      <c r="O21" s="59"/>
      <c r="P21" s="59"/>
    </row>
    <row r="22" spans="1:16">
      <c r="A22" s="59" t="s">
        <v>15</v>
      </c>
      <c r="B22" s="59">
        <v>1</v>
      </c>
      <c r="C22" s="59"/>
      <c r="D22" s="59"/>
      <c r="E22" s="59"/>
      <c r="F22" s="59"/>
      <c r="G22" s="59"/>
      <c r="H22" s="59"/>
      <c r="I22" s="59"/>
      <c r="J22" s="59"/>
      <c r="K22" s="59"/>
      <c r="L22" s="59"/>
      <c r="M22" s="59"/>
      <c r="N22" s="59"/>
      <c r="O22" s="59"/>
      <c r="P22" s="59"/>
    </row>
    <row r="23" spans="1:16">
      <c r="A23" s="59" t="s">
        <v>16</v>
      </c>
      <c r="B23" s="59" t="s">
        <v>17</v>
      </c>
      <c r="C23" s="59"/>
      <c r="D23" s="59"/>
      <c r="E23" s="59"/>
      <c r="F23" s="59"/>
      <c r="G23" s="59"/>
      <c r="H23" s="59"/>
      <c r="I23" s="59"/>
      <c r="J23" s="59"/>
      <c r="K23" s="59"/>
      <c r="L23" s="59"/>
      <c r="M23" s="59"/>
      <c r="N23" s="59"/>
      <c r="O23" s="59"/>
      <c r="P23" s="59"/>
    </row>
    <row r="24" spans="1:16" ht="15.6">
      <c r="A24" s="59" t="s">
        <v>18</v>
      </c>
      <c r="B24" s="180" t="s">
        <v>37</v>
      </c>
      <c r="C24" s="59"/>
      <c r="D24" s="59"/>
      <c r="E24" s="59" t="s">
        <v>235</v>
      </c>
      <c r="F24" s="59"/>
      <c r="G24" s="59"/>
      <c r="H24" s="59"/>
      <c r="I24" s="59"/>
      <c r="J24" s="59"/>
      <c r="K24" s="59"/>
      <c r="L24" s="59"/>
      <c r="M24" s="59"/>
      <c r="N24" s="59"/>
      <c r="O24" s="59"/>
      <c r="P24" s="59"/>
    </row>
    <row r="25" spans="1:16" ht="15.6">
      <c r="A25" s="181" t="s">
        <v>19</v>
      </c>
      <c r="B25" s="59"/>
      <c r="C25" s="59"/>
      <c r="D25" s="59"/>
      <c r="E25" s="59"/>
      <c r="F25" s="59"/>
      <c r="G25" s="59"/>
      <c r="H25" s="59"/>
      <c r="I25" s="59"/>
      <c r="J25" s="59"/>
      <c r="K25" s="59"/>
      <c r="L25" s="59"/>
      <c r="M25" s="59"/>
      <c r="N25" s="59"/>
      <c r="O25" s="59"/>
      <c r="P25" s="59"/>
    </row>
    <row r="26" spans="1:16" ht="15.6">
      <c r="A26" s="181" t="s">
        <v>20</v>
      </c>
      <c r="B26" s="181" t="s">
        <v>21</v>
      </c>
      <c r="C26" s="181" t="s">
        <v>217</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702</v>
      </c>
    </row>
    <row r="27" spans="1:16" ht="15.6">
      <c r="A27" s="180" t="str">
        <f>B17</f>
        <v>treatment of polyurethane, H2 storage tank (transport), PEMFC-bat</v>
      </c>
      <c r="B27" s="180">
        <v>1</v>
      </c>
      <c r="C27" s="180"/>
      <c r="D27" s="180" t="s">
        <v>37</v>
      </c>
      <c r="E27" s="59" t="s">
        <v>2</v>
      </c>
      <c r="F27" s="59" t="s">
        <v>1425</v>
      </c>
      <c r="G27" s="180" t="s">
        <v>59</v>
      </c>
      <c r="H27" s="59" t="s">
        <v>30</v>
      </c>
      <c r="I27" s="59">
        <v>0</v>
      </c>
      <c r="J27" s="180" t="s">
        <v>31</v>
      </c>
      <c r="K27" s="180" t="s">
        <v>31</v>
      </c>
      <c r="L27" s="180" t="s">
        <v>31</v>
      </c>
      <c r="M27" s="180" t="s">
        <v>31</v>
      </c>
      <c r="N27" s="180" t="s">
        <v>31</v>
      </c>
      <c r="O27" s="180" t="s">
        <v>1381</v>
      </c>
      <c r="P27" s="59"/>
    </row>
    <row r="28" spans="1:16" ht="15.6">
      <c r="A28" s="88" t="s">
        <v>1382</v>
      </c>
      <c r="B28">
        <v>-1</v>
      </c>
      <c r="D28" s="180" t="s">
        <v>37</v>
      </c>
      <c r="E28" s="88" t="s">
        <v>40</v>
      </c>
      <c r="F28" s="59" t="s">
        <v>1425</v>
      </c>
      <c r="G28" t="s">
        <v>82</v>
      </c>
      <c r="H28" t="s">
        <v>33</v>
      </c>
      <c r="I28">
        <v>0</v>
      </c>
      <c r="J28" t="s">
        <v>31</v>
      </c>
      <c r="K28" t="s">
        <v>31</v>
      </c>
      <c r="L28" t="s">
        <v>31</v>
      </c>
      <c r="M28" t="s">
        <v>31</v>
      </c>
      <c r="N28" t="s">
        <v>31</v>
      </c>
    </row>
    <row r="29" spans="1:16" s="70" customFormat="1" ht="15.6">
      <c r="A29" s="178" t="s">
        <v>5</v>
      </c>
      <c r="B29" s="178" t="s">
        <v>1422</v>
      </c>
      <c r="C29" s="178"/>
      <c r="D29" s="69"/>
      <c r="E29" s="144"/>
      <c r="F29" s="144"/>
      <c r="G29" s="144"/>
      <c r="H29" s="144"/>
      <c r="I29" s="144"/>
      <c r="J29" s="144"/>
      <c r="K29" s="144"/>
      <c r="L29" s="144"/>
      <c r="M29" s="144"/>
      <c r="N29" s="144"/>
      <c r="O29" s="144"/>
      <c r="P29" s="144"/>
    </row>
    <row r="30" spans="1:16">
      <c r="A30" s="59" t="s">
        <v>7</v>
      </c>
      <c r="B30" s="59" t="s">
        <v>1362</v>
      </c>
      <c r="C30" s="59"/>
      <c r="D30" s="59"/>
      <c r="E30" s="59"/>
      <c r="F30" s="59"/>
      <c r="G30" s="59"/>
      <c r="H30" s="59"/>
      <c r="I30" s="59"/>
      <c r="J30" s="59"/>
      <c r="K30" s="59"/>
      <c r="L30" s="59"/>
      <c r="M30" s="59"/>
      <c r="N30" s="59"/>
      <c r="O30" s="59"/>
      <c r="P30" s="59"/>
    </row>
    <row r="31" spans="1:16">
      <c r="A31" s="59" t="s">
        <v>9</v>
      </c>
      <c r="B31" s="186" t="s">
        <v>1428</v>
      </c>
      <c r="C31" s="59"/>
      <c r="D31" s="59"/>
      <c r="E31" s="59"/>
      <c r="F31" s="59"/>
      <c r="G31" s="59"/>
      <c r="H31" s="59"/>
      <c r="I31" s="59"/>
      <c r="J31" s="59"/>
      <c r="K31" s="59"/>
      <c r="L31" s="59"/>
      <c r="M31" s="59"/>
      <c r="N31" s="59"/>
      <c r="O31" s="59"/>
      <c r="P31" s="59"/>
    </row>
    <row r="32" spans="1:16">
      <c r="A32" s="59" t="s">
        <v>11</v>
      </c>
      <c r="B32" s="59" t="s">
        <v>1380</v>
      </c>
      <c r="C32" s="59"/>
      <c r="D32" s="59"/>
      <c r="E32" s="59"/>
      <c r="F32" s="59"/>
      <c r="G32" s="59"/>
      <c r="H32" s="59"/>
      <c r="I32" s="59"/>
      <c r="J32" s="59"/>
      <c r="K32" s="59"/>
      <c r="L32" s="59"/>
      <c r="M32" s="59"/>
      <c r="N32" s="59"/>
      <c r="O32" s="59"/>
      <c r="P32" s="59"/>
    </row>
    <row r="33" spans="1:16">
      <c r="A33" s="59" t="s">
        <v>13</v>
      </c>
      <c r="B33" s="59" t="s">
        <v>59</v>
      </c>
      <c r="C33" s="59"/>
      <c r="D33" s="59"/>
      <c r="E33" s="59"/>
      <c r="F33" s="59"/>
      <c r="G33" s="59"/>
      <c r="H33" s="59"/>
      <c r="I33" s="59"/>
      <c r="J33" s="59"/>
      <c r="K33" s="59"/>
      <c r="L33" s="59"/>
      <c r="M33" s="59"/>
      <c r="N33" s="59"/>
      <c r="O33" s="59"/>
      <c r="P33" s="59"/>
    </row>
    <row r="34" spans="1:16">
      <c r="A34" s="59" t="s">
        <v>15</v>
      </c>
      <c r="B34" s="59">
        <v>1</v>
      </c>
      <c r="C34" s="59"/>
      <c r="D34" s="59"/>
      <c r="E34" s="59"/>
      <c r="F34" s="59"/>
      <c r="G34" s="59"/>
      <c r="H34" s="59"/>
      <c r="I34" s="59"/>
      <c r="J34" s="59"/>
      <c r="K34" s="59"/>
      <c r="L34" s="59"/>
      <c r="M34" s="59"/>
      <c r="N34" s="59"/>
      <c r="O34" s="59"/>
      <c r="P34" s="59"/>
    </row>
    <row r="35" spans="1:16">
      <c r="A35" s="59" t="s">
        <v>16</v>
      </c>
      <c r="B35" s="59" t="s">
        <v>17</v>
      </c>
      <c r="C35" s="59"/>
      <c r="D35" s="59"/>
      <c r="E35" s="59"/>
      <c r="F35" s="59"/>
      <c r="G35" s="59"/>
      <c r="H35" s="59"/>
      <c r="I35" s="59"/>
      <c r="J35" s="59"/>
      <c r="K35" s="59"/>
      <c r="L35" s="59"/>
      <c r="M35" s="59"/>
      <c r="N35" s="59"/>
      <c r="O35" s="59"/>
      <c r="P35" s="59"/>
    </row>
    <row r="36" spans="1:16" ht="15.6">
      <c r="A36" s="59" t="s">
        <v>18</v>
      </c>
      <c r="B36" s="180" t="s">
        <v>18</v>
      </c>
      <c r="C36" s="59"/>
      <c r="D36" s="59"/>
      <c r="E36" s="59" t="s">
        <v>235</v>
      </c>
      <c r="F36" s="59"/>
      <c r="G36" s="59"/>
      <c r="H36" s="59"/>
      <c r="I36" s="59"/>
      <c r="J36" s="59"/>
      <c r="K36" s="59"/>
      <c r="L36" s="59"/>
      <c r="M36" s="59"/>
      <c r="N36" s="59"/>
      <c r="O36" s="59"/>
      <c r="P36" s="59"/>
    </row>
    <row r="37" spans="1:16" ht="15.6">
      <c r="A37" s="181" t="s">
        <v>19</v>
      </c>
      <c r="B37" s="59"/>
      <c r="C37" s="59"/>
      <c r="D37" s="59"/>
      <c r="E37" s="59"/>
      <c r="F37" s="59"/>
      <c r="G37" s="59"/>
      <c r="H37" s="59"/>
      <c r="I37" s="59"/>
      <c r="J37" s="59"/>
      <c r="K37" s="59"/>
      <c r="L37" s="59"/>
      <c r="M37" s="59"/>
      <c r="N37" s="59"/>
      <c r="O37" s="59"/>
      <c r="P37" s="59"/>
    </row>
    <row r="38" spans="1:16" ht="15.6">
      <c r="A38" s="181" t="s">
        <v>20</v>
      </c>
      <c r="B38" s="181" t="s">
        <v>21</v>
      </c>
      <c r="C38" s="181" t="s">
        <v>217</v>
      </c>
      <c r="D38" s="181" t="s">
        <v>18</v>
      </c>
      <c r="E38" s="181" t="s">
        <v>22</v>
      </c>
      <c r="F38" s="181" t="s">
        <v>7</v>
      </c>
      <c r="G38" s="181" t="s">
        <v>13</v>
      </c>
      <c r="H38" s="181" t="s">
        <v>16</v>
      </c>
      <c r="I38" s="181" t="s">
        <v>23</v>
      </c>
      <c r="J38" s="181" t="s">
        <v>24</v>
      </c>
      <c r="K38" s="181" t="s">
        <v>25</v>
      </c>
      <c r="L38" s="181" t="s">
        <v>26</v>
      </c>
      <c r="M38" s="181" t="s">
        <v>27</v>
      </c>
      <c r="N38" s="181" t="s">
        <v>28</v>
      </c>
      <c r="O38" s="181" t="s">
        <v>11</v>
      </c>
      <c r="P38" s="181" t="s">
        <v>702</v>
      </c>
    </row>
    <row r="39" spans="1:16" ht="15.6">
      <c r="A39" s="180" t="str">
        <f>B29</f>
        <v>treatment of H2 storage tank (transport), PEMFC-bat</v>
      </c>
      <c r="B39" s="180">
        <v>1</v>
      </c>
      <c r="C39" s="180"/>
      <c r="D39" s="180" t="s">
        <v>18</v>
      </c>
      <c r="E39" s="59" t="s">
        <v>2</v>
      </c>
      <c r="F39" s="59" t="s">
        <v>1425</v>
      </c>
      <c r="G39" s="180" t="s">
        <v>59</v>
      </c>
      <c r="H39" s="59" t="s">
        <v>30</v>
      </c>
      <c r="I39" s="59">
        <v>0</v>
      </c>
      <c r="J39" s="180" t="s">
        <v>31</v>
      </c>
      <c r="K39" s="180" t="s">
        <v>31</v>
      </c>
      <c r="L39" s="180" t="s">
        <v>31</v>
      </c>
      <c r="M39" s="180" t="s">
        <v>31</v>
      </c>
      <c r="N39" s="180" t="s">
        <v>31</v>
      </c>
      <c r="O39" s="180" t="s">
        <v>1381</v>
      </c>
      <c r="P39" s="59"/>
    </row>
    <row r="40" spans="1:16" ht="15.6">
      <c r="A40" t="str">
        <f>A12</f>
        <v>treatment of aluminium, H2 storage tank (transport), PEMFC-bat</v>
      </c>
      <c r="B40" s="27">
        <v>3141</v>
      </c>
      <c r="D40" s="180" t="s">
        <v>37</v>
      </c>
      <c r="E40" s="59" t="s">
        <v>2</v>
      </c>
      <c r="F40" s="59" t="s">
        <v>1425</v>
      </c>
      <c r="G40" s="180" t="s">
        <v>59</v>
      </c>
      <c r="H40" s="59" t="s">
        <v>30</v>
      </c>
      <c r="I40" s="59">
        <v>0</v>
      </c>
      <c r="J40" s="180" t="s">
        <v>31</v>
      </c>
      <c r="K40" s="180" t="s">
        <v>31</v>
      </c>
      <c r="L40" s="180" t="s">
        <v>31</v>
      </c>
      <c r="M40" s="180" t="s">
        <v>31</v>
      </c>
      <c r="N40" s="180" t="s">
        <v>31</v>
      </c>
    </row>
    <row r="41" spans="1:16" ht="15.6">
      <c r="A41" t="str">
        <f>A27</f>
        <v>treatment of polyurethane, H2 storage tank (transport), PEMFC-bat</v>
      </c>
      <c r="B41" s="27">
        <v>2256</v>
      </c>
      <c r="D41" s="180" t="s">
        <v>37</v>
      </c>
      <c r="E41" s="59" t="s">
        <v>2</v>
      </c>
      <c r="F41" s="59" t="s">
        <v>1425</v>
      </c>
      <c r="G41" s="180" t="s">
        <v>59</v>
      </c>
      <c r="H41" s="59" t="s">
        <v>30</v>
      </c>
      <c r="I41" s="59">
        <v>0</v>
      </c>
      <c r="J41" s="180" t="s">
        <v>31</v>
      </c>
      <c r="K41" s="180" t="s">
        <v>31</v>
      </c>
      <c r="L41" s="180" t="s">
        <v>31</v>
      </c>
      <c r="M41" s="180" t="s">
        <v>31</v>
      </c>
      <c r="N41" s="180" t="s">
        <v>31</v>
      </c>
    </row>
    <row r="42" spans="1:16">
      <c r="F42" s="59"/>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560C-26F2-4D22-8BC4-36B3C2996347}">
  <dimension ref="A1:Q49"/>
  <sheetViews>
    <sheetView workbookViewId="0">
      <selection activeCell="D45" sqref="D45"/>
    </sheetView>
  </sheetViews>
  <sheetFormatPr defaultColWidth="8.85546875" defaultRowHeight="14.45"/>
  <cols>
    <col min="1" max="1" width="30.28515625" style="24" customWidth="1"/>
    <col min="2" max="2" width="43.42578125" style="24" bestFit="1" customWidth="1"/>
    <col min="3" max="3" width="10.140625" style="24" customWidth="1"/>
    <col min="4" max="4" width="31" style="24" bestFit="1" customWidth="1"/>
    <col min="5" max="5" width="12" style="24" customWidth="1"/>
    <col min="6" max="7" width="8.85546875" style="24"/>
    <col min="8" max="8" width="16.140625" style="24" customWidth="1"/>
    <col min="9" max="11" width="8.85546875" style="24"/>
    <col min="12" max="13" width="11.28515625" style="24" customWidth="1"/>
    <col min="14" max="14" width="12.140625" style="24" customWidth="1"/>
    <col min="15" max="15" width="15.7109375" style="24" customWidth="1"/>
    <col min="16" max="16384" width="8.85546875" style="24"/>
  </cols>
  <sheetData>
    <row r="1" spans="1:17">
      <c r="A1" s="24" t="s">
        <v>0</v>
      </c>
      <c r="B1" s="24">
        <v>13</v>
      </c>
      <c r="C1" s="25"/>
    </row>
    <row r="2" spans="1:17" ht="15.6">
      <c r="A2" s="28" t="s">
        <v>5</v>
      </c>
      <c r="B2" s="28" t="s">
        <v>34</v>
      </c>
      <c r="C2" s="29"/>
      <c r="D2" s="30"/>
      <c r="E2" s="30"/>
      <c r="F2" s="30"/>
      <c r="G2" s="30"/>
      <c r="H2" s="30"/>
      <c r="I2" s="30"/>
      <c r="J2" s="30"/>
      <c r="K2" s="30"/>
      <c r="L2" s="30"/>
      <c r="M2" s="30"/>
      <c r="N2" s="30"/>
    </row>
    <row r="3" spans="1:17" s="27" customFormat="1" ht="12.95">
      <c r="A3" s="27" t="s">
        <v>7</v>
      </c>
      <c r="B3" s="27" t="s">
        <v>1429</v>
      </c>
      <c r="O3" s="505" t="s">
        <v>1430</v>
      </c>
      <c r="P3" s="506"/>
      <c r="Q3" s="507"/>
    </row>
    <row r="4" spans="1:17" s="27" customFormat="1" ht="12.95">
      <c r="A4" s="27" t="s">
        <v>9</v>
      </c>
      <c r="B4" s="27" t="s">
        <v>1431</v>
      </c>
      <c r="O4" s="31" t="s">
        <v>1432</v>
      </c>
      <c r="P4" s="32" t="s">
        <v>1433</v>
      </c>
      <c r="Q4" s="33" t="s">
        <v>1434</v>
      </c>
    </row>
    <row r="5" spans="1:17" s="27" customFormat="1" ht="12.95">
      <c r="A5" s="27" t="s">
        <v>11</v>
      </c>
      <c r="B5" s="27" t="s">
        <v>1435</v>
      </c>
      <c r="O5" s="34" t="s">
        <v>34</v>
      </c>
      <c r="P5" s="35">
        <v>1</v>
      </c>
      <c r="Q5" s="36">
        <f>P5/P5</f>
        <v>1</v>
      </c>
    </row>
    <row r="6" spans="1:17" s="27" customFormat="1" ht="12.95">
      <c r="A6" s="27" t="s">
        <v>13</v>
      </c>
      <c r="B6" s="27" t="s">
        <v>35</v>
      </c>
      <c r="O6" s="34" t="s">
        <v>1436</v>
      </c>
      <c r="P6" s="35">
        <v>100</v>
      </c>
      <c r="Q6" s="36">
        <f>P5/P6</f>
        <v>0.01</v>
      </c>
    </row>
    <row r="7" spans="1:17" s="27" customFormat="1" ht="12.95">
      <c r="A7" s="27" t="s">
        <v>15</v>
      </c>
      <c r="B7" s="37">
        <v>1</v>
      </c>
      <c r="O7" s="38" t="s">
        <v>1437</v>
      </c>
      <c r="P7" s="39">
        <v>100</v>
      </c>
      <c r="Q7" s="40">
        <f>P5/P7</f>
        <v>0.01</v>
      </c>
    </row>
    <row r="8" spans="1:17" s="27" customFormat="1" ht="12.95">
      <c r="A8" s="27" t="s">
        <v>16</v>
      </c>
      <c r="B8" s="27" t="s">
        <v>17</v>
      </c>
    </row>
    <row r="9" spans="1:17" s="27" customFormat="1" ht="12.95">
      <c r="A9" s="27" t="s">
        <v>18</v>
      </c>
      <c r="B9" s="27" t="s">
        <v>18</v>
      </c>
    </row>
    <row r="10" spans="1:17" ht="15.6">
      <c r="A10" s="26" t="s">
        <v>19</v>
      </c>
    </row>
    <row r="11" spans="1:17"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row>
    <row r="12" spans="1:17" s="27" customFormat="1" ht="12.95">
      <c r="A12" s="27" t="str">
        <f>B2</f>
        <v>airport use</v>
      </c>
      <c r="B12" s="27">
        <f>B7</f>
        <v>1</v>
      </c>
      <c r="C12" s="27" t="str">
        <f>B9</f>
        <v>unit</v>
      </c>
      <c r="D12" s="27" t="s">
        <v>2</v>
      </c>
      <c r="E12" s="27" t="s">
        <v>29</v>
      </c>
      <c r="F12" s="27" t="str">
        <f>B6</f>
        <v>RER</v>
      </c>
      <c r="G12" s="27" t="s">
        <v>30</v>
      </c>
      <c r="H12" s="27">
        <v>0</v>
      </c>
      <c r="I12" s="27">
        <f>B12</f>
        <v>1</v>
      </c>
      <c r="J12" s="27" t="s">
        <v>31</v>
      </c>
      <c r="K12" s="27" t="s">
        <v>31</v>
      </c>
      <c r="L12" s="27" t="s">
        <v>31</v>
      </c>
      <c r="M12" s="27" t="s">
        <v>31</v>
      </c>
    </row>
    <row r="13" spans="1:17" s="27" customFormat="1" ht="12.95">
      <c r="A13" s="37" t="s">
        <v>1436</v>
      </c>
      <c r="B13" s="41">
        <f>1*Q6</f>
        <v>0.01</v>
      </c>
      <c r="C13" s="27" t="s">
        <v>18</v>
      </c>
      <c r="D13" s="27" t="s">
        <v>2</v>
      </c>
      <c r="E13" s="27" t="s">
        <v>29</v>
      </c>
      <c r="F13" s="27" t="s">
        <v>1438</v>
      </c>
      <c r="G13" s="27" t="s">
        <v>33</v>
      </c>
      <c r="H13" s="27">
        <v>0</v>
      </c>
      <c r="I13" s="27">
        <f t="shared" ref="I13" si="0">B13</f>
        <v>0.01</v>
      </c>
      <c r="J13" s="27" t="s">
        <v>31</v>
      </c>
      <c r="K13" s="27" t="s">
        <v>31</v>
      </c>
      <c r="L13" s="27" t="s">
        <v>31</v>
      </c>
      <c r="M13" s="27" t="s">
        <v>31</v>
      </c>
      <c r="N13" s="27" t="s">
        <v>1439</v>
      </c>
    </row>
    <row r="14" spans="1:17" s="27" customFormat="1" ht="12.95">
      <c r="A14" s="37" t="s">
        <v>252</v>
      </c>
      <c r="B14" s="42">
        <f>(0)*0.846</f>
        <v>0</v>
      </c>
      <c r="C14" s="27" t="s">
        <v>37</v>
      </c>
      <c r="D14" s="27" t="s">
        <v>40</v>
      </c>
      <c r="E14" s="27" t="s">
        <v>29</v>
      </c>
      <c r="F14" s="27" t="s">
        <v>59</v>
      </c>
      <c r="G14" s="27" t="s">
        <v>33</v>
      </c>
      <c r="H14" s="27">
        <v>1</v>
      </c>
      <c r="I14" s="27">
        <v>0</v>
      </c>
      <c r="J14" s="27">
        <v>1.0523125754508578</v>
      </c>
      <c r="K14" s="27" t="s">
        <v>31</v>
      </c>
      <c r="L14" s="27" t="s">
        <v>31</v>
      </c>
      <c r="M14" s="27" t="s">
        <v>31</v>
      </c>
      <c r="N14" s="27" t="s">
        <v>1440</v>
      </c>
    </row>
    <row r="15" spans="1:17" s="27" customFormat="1" ht="12.95">
      <c r="A15" s="37" t="s">
        <v>494</v>
      </c>
      <c r="B15" s="42">
        <v>1170.7317073170732</v>
      </c>
      <c r="C15" s="27" t="s">
        <v>37</v>
      </c>
      <c r="D15" s="27" t="s">
        <v>40</v>
      </c>
      <c r="E15" s="27" t="s">
        <v>29</v>
      </c>
      <c r="F15" s="27" t="s">
        <v>59</v>
      </c>
      <c r="G15" s="27" t="s">
        <v>33</v>
      </c>
      <c r="H15" s="27">
        <v>2</v>
      </c>
      <c r="I15" s="27">
        <f>LN(B15)</f>
        <v>7.0653842231857205</v>
      </c>
      <c r="J15" s="27">
        <v>1.0268106203456886</v>
      </c>
      <c r="K15" s="27" t="s">
        <v>31</v>
      </c>
      <c r="L15" s="27" t="s">
        <v>31</v>
      </c>
      <c r="M15" s="27" t="s">
        <v>31</v>
      </c>
      <c r="N15" s="27" t="s">
        <v>1441</v>
      </c>
    </row>
    <row r="16" spans="1:17" s="27" customFormat="1" ht="12.95">
      <c r="A16" s="37" t="s">
        <v>269</v>
      </c>
      <c r="B16" s="42">
        <f>3495301+(1320+14842+640+4000)</f>
        <v>3516103</v>
      </c>
      <c r="C16" s="27" t="s">
        <v>39</v>
      </c>
      <c r="D16" s="27" t="s">
        <v>40</v>
      </c>
      <c r="E16" s="27" t="s">
        <v>29</v>
      </c>
      <c r="F16" s="27" t="s">
        <v>14</v>
      </c>
      <c r="G16" s="27" t="s">
        <v>33</v>
      </c>
      <c r="H16" s="27">
        <v>2</v>
      </c>
      <c r="I16" s="27">
        <f>LN(B16)</f>
        <v>15.072863832011139</v>
      </c>
      <c r="J16" s="27">
        <v>1.0523125754508578</v>
      </c>
      <c r="K16" s="27" t="s">
        <v>31</v>
      </c>
      <c r="L16" s="27" t="s">
        <v>31</v>
      </c>
      <c r="M16" s="27" t="s">
        <v>31</v>
      </c>
      <c r="N16" s="27" t="s">
        <v>1442</v>
      </c>
    </row>
    <row r="17" spans="1:14" s="27" customFormat="1" ht="12.95">
      <c r="A17" s="37" t="s">
        <v>69</v>
      </c>
      <c r="B17" s="42">
        <v>315000</v>
      </c>
      <c r="C17" s="27" t="s">
        <v>42</v>
      </c>
      <c r="D17" s="27" t="s">
        <v>40</v>
      </c>
      <c r="E17" s="27" t="s">
        <v>29</v>
      </c>
      <c r="F17" s="27" t="s">
        <v>14</v>
      </c>
      <c r="G17" s="27" t="s">
        <v>33</v>
      </c>
      <c r="H17" s="27">
        <v>2</v>
      </c>
      <c r="I17" s="27">
        <f>LN(B17)</f>
        <v>12.66032791780777</v>
      </c>
      <c r="J17" s="27">
        <v>1.0523125754508578</v>
      </c>
      <c r="K17" s="27" t="s">
        <v>31</v>
      </c>
      <c r="L17" s="27" t="s">
        <v>31</v>
      </c>
      <c r="M17" s="27" t="s">
        <v>31</v>
      </c>
      <c r="N17" s="27" t="s">
        <v>1443</v>
      </c>
    </row>
    <row r="18" spans="1:14" s="27" customFormat="1" ht="12.95">
      <c r="A18" s="37" t="s">
        <v>75</v>
      </c>
      <c r="B18" s="42">
        <v>31369447</v>
      </c>
      <c r="C18" s="27" t="s">
        <v>37</v>
      </c>
      <c r="D18" s="27" t="s">
        <v>40</v>
      </c>
      <c r="E18" s="27" t="s">
        <v>29</v>
      </c>
      <c r="F18" s="27" t="s">
        <v>35</v>
      </c>
      <c r="G18" s="27" t="s">
        <v>33</v>
      </c>
      <c r="H18" s="27">
        <v>2</v>
      </c>
      <c r="I18" s="27">
        <f>LN(B18)</f>
        <v>17.261344951704181</v>
      </c>
      <c r="J18" s="27">
        <v>1.0268106203456886</v>
      </c>
      <c r="K18" s="27" t="s">
        <v>31</v>
      </c>
      <c r="L18" s="27" t="s">
        <v>31</v>
      </c>
      <c r="M18" s="27" t="s">
        <v>31</v>
      </c>
      <c r="N18" s="27" t="s">
        <v>1444</v>
      </c>
    </row>
    <row r="19" spans="1:14" s="27" customFormat="1" ht="12.95">
      <c r="A19" s="37" t="s">
        <v>1445</v>
      </c>
      <c r="B19" s="42">
        <f>0.437*2349028</f>
        <v>1026525.236</v>
      </c>
      <c r="C19" s="27" t="s">
        <v>37</v>
      </c>
      <c r="D19" s="27" t="s">
        <v>2</v>
      </c>
      <c r="E19" s="27" t="s">
        <v>29</v>
      </c>
      <c r="F19" s="27" t="s">
        <v>35</v>
      </c>
      <c r="G19" s="27" t="s">
        <v>33</v>
      </c>
      <c r="H19" s="27">
        <v>2</v>
      </c>
      <c r="I19" s="27">
        <f t="shared" ref="I19:I20" si="1">LN(B19)</f>
        <v>13.841690099649403</v>
      </c>
      <c r="J19" s="27">
        <v>1.223608598770918</v>
      </c>
      <c r="K19" s="27" t="s">
        <v>31</v>
      </c>
      <c r="L19" s="27" t="s">
        <v>31</v>
      </c>
      <c r="M19" s="27" t="s">
        <v>31</v>
      </c>
      <c r="N19" s="27" t="s">
        <v>1446</v>
      </c>
    </row>
    <row r="20" spans="1:14" s="27" customFormat="1" ht="12.95">
      <c r="A20" s="37" t="s">
        <v>1447</v>
      </c>
      <c r="B20" s="42">
        <f>0.45*1170364</f>
        <v>526663.80000000005</v>
      </c>
      <c r="C20" s="27" t="s">
        <v>37</v>
      </c>
      <c r="D20" s="27" t="s">
        <v>2</v>
      </c>
      <c r="E20" s="27" t="s">
        <v>29</v>
      </c>
      <c r="F20" s="27" t="s">
        <v>35</v>
      </c>
      <c r="G20" s="27" t="s">
        <v>33</v>
      </c>
      <c r="H20" s="27">
        <v>2</v>
      </c>
      <c r="I20" s="27">
        <f t="shared" si="1"/>
        <v>13.174317673282252</v>
      </c>
      <c r="J20" s="27">
        <v>1.223608598770918</v>
      </c>
      <c r="K20" s="27" t="s">
        <v>31</v>
      </c>
      <c r="L20" s="27" t="s">
        <v>31</v>
      </c>
      <c r="M20" s="27" t="s">
        <v>31</v>
      </c>
      <c r="N20" s="27" t="s">
        <v>1448</v>
      </c>
    </row>
    <row r="21" spans="1:14" s="27" customFormat="1" ht="12.95">
      <c r="A21" s="37" t="s">
        <v>1449</v>
      </c>
      <c r="B21" s="41">
        <f>1*Q7</f>
        <v>0.01</v>
      </c>
      <c r="C21" s="27" t="s">
        <v>18</v>
      </c>
      <c r="D21" s="27" t="s">
        <v>2</v>
      </c>
      <c r="E21" s="27" t="s">
        <v>29</v>
      </c>
      <c r="F21" s="27" t="s">
        <v>35</v>
      </c>
      <c r="G21" s="27" t="s">
        <v>33</v>
      </c>
      <c r="H21" s="27">
        <v>0</v>
      </c>
      <c r="I21" s="27">
        <f t="shared" ref="I21" si="2">B21</f>
        <v>0.01</v>
      </c>
      <c r="J21" s="27" t="s">
        <v>31</v>
      </c>
      <c r="K21" s="27" t="s">
        <v>31</v>
      </c>
      <c r="L21" s="27" t="s">
        <v>31</v>
      </c>
      <c r="M21" s="27" t="s">
        <v>31</v>
      </c>
      <c r="N21" s="27" t="s">
        <v>1450</v>
      </c>
    </row>
    <row r="22" spans="1:14" s="27" customFormat="1" ht="12.95">
      <c r="A22" s="37" t="s">
        <v>1451</v>
      </c>
      <c r="B22" s="41">
        <f>1/20</f>
        <v>0.05</v>
      </c>
      <c r="C22" s="27" t="s">
        <v>18</v>
      </c>
      <c r="D22" s="27" t="s">
        <v>2</v>
      </c>
      <c r="E22" s="27" t="s">
        <v>1452</v>
      </c>
      <c r="F22" s="27" t="s">
        <v>59</v>
      </c>
      <c r="G22" s="27" t="s">
        <v>33</v>
      </c>
      <c r="H22" s="27">
        <v>0</v>
      </c>
      <c r="I22" s="27">
        <f t="shared" ref="I22" si="3">B22</f>
        <v>0.05</v>
      </c>
      <c r="J22" s="27" t="s">
        <v>31</v>
      </c>
      <c r="K22" s="27" t="s">
        <v>31</v>
      </c>
      <c r="L22" s="27" t="s">
        <v>31</v>
      </c>
      <c r="M22" s="27" t="s">
        <v>31</v>
      </c>
    </row>
    <row r="23" spans="1:14" ht="15.6">
      <c r="A23" s="28" t="s">
        <v>5</v>
      </c>
      <c r="B23" s="28" t="s">
        <v>1445</v>
      </c>
      <c r="C23" s="29"/>
      <c r="D23" s="30"/>
      <c r="E23" s="30"/>
      <c r="F23" s="30"/>
      <c r="G23" s="30"/>
      <c r="H23" s="30"/>
      <c r="I23" s="30"/>
      <c r="J23" s="30"/>
      <c r="K23" s="30"/>
      <c r="L23" s="30"/>
      <c r="M23" s="30"/>
      <c r="N23" s="30"/>
    </row>
    <row r="24" spans="1:14" s="27" customFormat="1" ht="12.95">
      <c r="A24" s="27" t="s">
        <v>7</v>
      </c>
      <c r="B24" s="27" t="s">
        <v>1429</v>
      </c>
    </row>
    <row r="25" spans="1:14" s="27" customFormat="1" ht="12.95">
      <c r="A25" s="27" t="s">
        <v>9</v>
      </c>
      <c r="B25" s="27" t="s">
        <v>1453</v>
      </c>
    </row>
    <row r="26" spans="1:14" s="27" customFormat="1" ht="12.95">
      <c r="A26" s="27" t="s">
        <v>11</v>
      </c>
      <c r="B26" s="27" t="s">
        <v>1454</v>
      </c>
    </row>
    <row r="27" spans="1:14" s="27" customFormat="1" ht="12.95">
      <c r="A27" s="27" t="s">
        <v>13</v>
      </c>
      <c r="B27" s="27" t="s">
        <v>35</v>
      </c>
    </row>
    <row r="28" spans="1:14" s="27" customFormat="1" ht="12.95">
      <c r="A28" s="27" t="s">
        <v>15</v>
      </c>
      <c r="B28" s="37">
        <v>1</v>
      </c>
    </row>
    <row r="29" spans="1:14" s="27" customFormat="1" ht="12.95">
      <c r="A29" s="27" t="s">
        <v>16</v>
      </c>
      <c r="B29" s="27" t="s">
        <v>17</v>
      </c>
    </row>
    <row r="30" spans="1:14" s="27" customFormat="1" ht="12.95">
      <c r="A30" s="27" t="s">
        <v>18</v>
      </c>
      <c r="B30" s="27" t="s">
        <v>37</v>
      </c>
    </row>
    <row r="31" spans="1:14" ht="15.6">
      <c r="A31" s="26" t="s">
        <v>19</v>
      </c>
    </row>
    <row r="32" spans="1:14" ht="15.6">
      <c r="A32" s="26" t="s">
        <v>20</v>
      </c>
      <c r="B32" s="26" t="s">
        <v>21</v>
      </c>
      <c r="C32" s="26" t="s">
        <v>18</v>
      </c>
      <c r="D32" s="26" t="s">
        <v>22</v>
      </c>
      <c r="E32" s="26" t="s">
        <v>7</v>
      </c>
      <c r="F32" s="26" t="s">
        <v>13</v>
      </c>
      <c r="G32" s="26" t="s">
        <v>16</v>
      </c>
      <c r="H32" s="26" t="s">
        <v>23</v>
      </c>
      <c r="I32" s="26" t="s">
        <v>24</v>
      </c>
      <c r="J32" s="26" t="s">
        <v>25</v>
      </c>
      <c r="K32" s="26" t="s">
        <v>26</v>
      </c>
      <c r="L32" s="26" t="s">
        <v>27</v>
      </c>
      <c r="M32" s="26" t="s">
        <v>28</v>
      </c>
      <c r="N32" s="26" t="s">
        <v>187</v>
      </c>
    </row>
    <row r="33" spans="1:14" s="27" customFormat="1" ht="12.95">
      <c r="A33" s="27" t="str">
        <f>B23</f>
        <v>solid waste from terminals</v>
      </c>
      <c r="B33" s="27">
        <f>B28</f>
        <v>1</v>
      </c>
      <c r="C33" s="27" t="str">
        <f>B30</f>
        <v>kilogram</v>
      </c>
      <c r="D33" s="27" t="s">
        <v>2</v>
      </c>
      <c r="E33" s="27" t="s">
        <v>29</v>
      </c>
      <c r="F33" s="27" t="str">
        <f>B27</f>
        <v>RER</v>
      </c>
      <c r="G33" s="27" t="s">
        <v>30</v>
      </c>
      <c r="H33" s="27">
        <v>0</v>
      </c>
      <c r="I33" s="27">
        <f>B33</f>
        <v>1</v>
      </c>
      <c r="J33" s="27" t="s">
        <v>31</v>
      </c>
      <c r="K33" s="27" t="s">
        <v>31</v>
      </c>
      <c r="L33" s="27" t="s">
        <v>31</v>
      </c>
      <c r="M33" s="27" t="s">
        <v>31</v>
      </c>
    </row>
    <row r="34" spans="1:14" s="27" customFormat="1" ht="12.95">
      <c r="A34" s="27" t="s">
        <v>587</v>
      </c>
      <c r="B34" s="42">
        <v>-1</v>
      </c>
      <c r="C34" s="27" t="s">
        <v>37</v>
      </c>
      <c r="D34" s="27" t="s">
        <v>40</v>
      </c>
      <c r="E34" s="27" t="s">
        <v>29</v>
      </c>
      <c r="F34" s="27" t="s">
        <v>35</v>
      </c>
      <c r="G34" s="27" t="s">
        <v>33</v>
      </c>
      <c r="H34" s="27">
        <v>0</v>
      </c>
      <c r="I34" s="42">
        <f>B34</f>
        <v>-1</v>
      </c>
      <c r="J34" s="27" t="s">
        <v>31</v>
      </c>
      <c r="K34" s="27" t="s">
        <v>31</v>
      </c>
      <c r="L34" s="27" t="s">
        <v>31</v>
      </c>
      <c r="M34" s="27" t="s">
        <v>31</v>
      </c>
      <c r="N34" s="27" t="s">
        <v>1455</v>
      </c>
    </row>
    <row r="35" spans="1:14" ht="15.6">
      <c r="A35" s="28" t="s">
        <v>5</v>
      </c>
      <c r="B35" s="28" t="s">
        <v>1447</v>
      </c>
      <c r="C35" s="29"/>
      <c r="D35" s="30"/>
      <c r="E35" s="30"/>
      <c r="F35" s="30"/>
      <c r="G35" s="30"/>
      <c r="H35" s="30"/>
      <c r="I35" s="30"/>
      <c r="J35" s="30"/>
      <c r="K35" s="30"/>
      <c r="L35" s="30"/>
      <c r="M35" s="30"/>
      <c r="N35" s="30"/>
    </row>
    <row r="36" spans="1:14" s="27" customFormat="1" ht="12.95">
      <c r="A36" s="27" t="s">
        <v>7</v>
      </c>
      <c r="B36" s="27" t="s">
        <v>1429</v>
      </c>
    </row>
    <row r="37" spans="1:14" s="27" customFormat="1" ht="12.95">
      <c r="A37" s="27" t="s">
        <v>9</v>
      </c>
      <c r="B37" s="27" t="s">
        <v>1456</v>
      </c>
    </row>
    <row r="38" spans="1:14" s="27" customFormat="1" ht="12.95">
      <c r="A38" s="27" t="s">
        <v>11</v>
      </c>
      <c r="B38" s="27" t="s">
        <v>1457</v>
      </c>
    </row>
    <row r="39" spans="1:14" s="27" customFormat="1" ht="12.95">
      <c r="A39" s="27" t="s">
        <v>13</v>
      </c>
      <c r="B39" s="27" t="s">
        <v>35</v>
      </c>
    </row>
    <row r="40" spans="1:14" s="27" customFormat="1" ht="12.95">
      <c r="A40" s="27" t="s">
        <v>15</v>
      </c>
      <c r="B40" s="37">
        <v>1</v>
      </c>
    </row>
    <row r="41" spans="1:14" s="27" customFormat="1" ht="12.95">
      <c r="A41" s="27" t="s">
        <v>16</v>
      </c>
      <c r="B41" s="27" t="s">
        <v>17</v>
      </c>
    </row>
    <row r="42" spans="1:14" s="27" customFormat="1" ht="12.95">
      <c r="A42" s="27" t="s">
        <v>18</v>
      </c>
      <c r="B42" s="27" t="s">
        <v>37</v>
      </c>
    </row>
    <row r="43" spans="1:14" ht="15.6">
      <c r="A43" s="26" t="s">
        <v>19</v>
      </c>
    </row>
    <row r="44" spans="1:14" ht="15.6">
      <c r="A44" s="26" t="s">
        <v>20</v>
      </c>
      <c r="B44" s="26" t="s">
        <v>21</v>
      </c>
      <c r="C44" s="26" t="s">
        <v>18</v>
      </c>
      <c r="D44" s="26" t="s">
        <v>22</v>
      </c>
      <c r="E44" s="26" t="s">
        <v>7</v>
      </c>
      <c r="F44" s="26" t="s">
        <v>13</v>
      </c>
      <c r="G44" s="26" t="s">
        <v>16</v>
      </c>
      <c r="H44" s="26" t="s">
        <v>23</v>
      </c>
      <c r="I44" s="26" t="s">
        <v>24</v>
      </c>
      <c r="J44" s="26" t="s">
        <v>25</v>
      </c>
      <c r="K44" s="26" t="s">
        <v>26</v>
      </c>
      <c r="L44" s="26" t="s">
        <v>27</v>
      </c>
      <c r="M44" s="26" t="s">
        <v>28</v>
      </c>
      <c r="N44" s="26" t="s">
        <v>187</v>
      </c>
    </row>
    <row r="45" spans="1:14" s="27" customFormat="1" ht="12.95">
      <c r="A45" s="27" t="str">
        <f>B35</f>
        <v>solid waste from planes</v>
      </c>
      <c r="B45" s="27">
        <f>B40</f>
        <v>1</v>
      </c>
      <c r="C45" s="27" t="str">
        <f>B42</f>
        <v>kilogram</v>
      </c>
      <c r="D45" s="27" t="s">
        <v>2</v>
      </c>
      <c r="E45" s="27" t="s">
        <v>29</v>
      </c>
      <c r="F45" s="27" t="str">
        <f>B39</f>
        <v>RER</v>
      </c>
      <c r="G45" s="27" t="s">
        <v>30</v>
      </c>
      <c r="H45" s="27">
        <v>0</v>
      </c>
      <c r="I45" s="27">
        <f>B45</f>
        <v>1</v>
      </c>
      <c r="J45" s="27" t="s">
        <v>31</v>
      </c>
      <c r="K45" s="27" t="s">
        <v>31</v>
      </c>
      <c r="L45" s="27" t="s">
        <v>31</v>
      </c>
      <c r="M45" s="27" t="s">
        <v>31</v>
      </c>
    </row>
    <row r="46" spans="1:14" s="27" customFormat="1" ht="12.95">
      <c r="A46" s="27" t="s">
        <v>587</v>
      </c>
      <c r="B46" s="42">
        <v>-1</v>
      </c>
      <c r="C46" s="27" t="s">
        <v>37</v>
      </c>
      <c r="D46" s="27" t="s">
        <v>40</v>
      </c>
      <c r="E46" s="27" t="s">
        <v>29</v>
      </c>
      <c r="F46" s="27" t="s">
        <v>35</v>
      </c>
      <c r="G46" s="27" t="s">
        <v>33</v>
      </c>
      <c r="H46" s="27">
        <v>0</v>
      </c>
      <c r="I46" s="27">
        <f t="shared" ref="I46" si="4">B46</f>
        <v>-1</v>
      </c>
      <c r="J46" s="27" t="s">
        <v>31</v>
      </c>
      <c r="K46" s="27" t="s">
        <v>31</v>
      </c>
      <c r="L46" s="27" t="s">
        <v>31</v>
      </c>
      <c r="M46" s="27" t="s">
        <v>31</v>
      </c>
      <c r="N46" s="27" t="s">
        <v>1458</v>
      </c>
    </row>
    <row r="47" spans="1:14">
      <c r="A47" s="30"/>
      <c r="B47" s="30"/>
      <c r="C47" s="30"/>
      <c r="D47" s="30"/>
      <c r="E47" s="30"/>
      <c r="F47" s="30"/>
      <c r="G47" s="30"/>
      <c r="H47" s="30"/>
      <c r="I47" s="30"/>
      <c r="J47" s="30"/>
      <c r="K47" s="30"/>
      <c r="L47" s="30"/>
      <c r="M47" s="30"/>
      <c r="N47" s="30"/>
    </row>
    <row r="48" spans="1:14">
      <c r="A48" s="37"/>
    </row>
    <row r="49" spans="1:1">
      <c r="A49" s="37"/>
    </row>
  </sheetData>
  <mergeCells count="1">
    <mergeCell ref="O3:Q3"/>
  </mergeCells>
  <pageMargins left="0.7" right="0.7" top="0.75" bottom="0.75" header="0.3" footer="0.3"/>
  <pageSetup paperSize="9"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9C9DE-3B86-44A4-A29E-7C1BBC8B90D9}">
  <dimension ref="A1:P201"/>
  <sheetViews>
    <sheetView topLeftCell="A195" workbookViewId="0">
      <selection activeCell="B231" sqref="B231"/>
    </sheetView>
  </sheetViews>
  <sheetFormatPr defaultColWidth="8.85546875" defaultRowHeight="14.45"/>
  <cols>
    <col min="1" max="1" width="30.28515625" style="24" customWidth="1"/>
    <col min="2" max="2" width="43.42578125" style="24" bestFit="1" customWidth="1"/>
    <col min="3" max="3" width="10.140625" style="24" customWidth="1"/>
    <col min="4" max="4" width="31" style="24" bestFit="1" customWidth="1"/>
    <col min="5" max="5" width="12" style="24" customWidth="1"/>
    <col min="6" max="7" width="8.85546875" style="24"/>
    <col min="8" max="8" width="16.140625" style="24" customWidth="1"/>
    <col min="9" max="11" width="8.85546875" style="24"/>
    <col min="12" max="13" width="11.28515625" style="24" customWidth="1"/>
    <col min="14" max="14" width="12.140625" style="24" customWidth="1"/>
    <col min="15" max="15" width="17.42578125" style="24" customWidth="1"/>
    <col min="16" max="16384" width="8.85546875" style="24"/>
  </cols>
  <sheetData>
    <row r="1" spans="1:16">
      <c r="A1" s="24" t="s">
        <v>0</v>
      </c>
      <c r="B1" s="24">
        <v>13</v>
      </c>
      <c r="C1" s="25"/>
    </row>
    <row r="2" spans="1:16" ht="15.6">
      <c r="A2" s="28" t="s">
        <v>5</v>
      </c>
      <c r="B2" s="28" t="s">
        <v>1436</v>
      </c>
      <c r="C2" s="29"/>
      <c r="D2" s="30"/>
      <c r="E2" s="30"/>
      <c r="F2" s="30"/>
      <c r="G2" s="30"/>
      <c r="H2" s="30"/>
      <c r="I2" s="30"/>
      <c r="J2" s="30"/>
      <c r="K2" s="30"/>
      <c r="L2" s="30"/>
      <c r="M2" s="30"/>
      <c r="N2" s="30"/>
    </row>
    <row r="3" spans="1:16" s="27" customFormat="1" ht="12.95">
      <c r="A3" s="27" t="s">
        <v>7</v>
      </c>
      <c r="B3" s="27" t="s">
        <v>1429</v>
      </c>
      <c r="O3" s="505" t="s">
        <v>1430</v>
      </c>
      <c r="P3" s="507"/>
    </row>
    <row r="4" spans="1:16" s="27" customFormat="1" ht="12.95">
      <c r="A4" s="27" t="s">
        <v>9</v>
      </c>
      <c r="B4" s="27" t="s">
        <v>1459</v>
      </c>
      <c r="O4" s="31" t="s">
        <v>1432</v>
      </c>
      <c r="P4" s="33" t="s">
        <v>1433</v>
      </c>
    </row>
    <row r="5" spans="1:16" s="27" customFormat="1" ht="12.95">
      <c r="A5" s="27" t="s">
        <v>11</v>
      </c>
      <c r="B5" s="27" t="s">
        <v>1460</v>
      </c>
      <c r="O5" s="34" t="s">
        <v>1461</v>
      </c>
      <c r="P5" s="43">
        <v>100</v>
      </c>
    </row>
    <row r="6" spans="1:16" s="27" customFormat="1" ht="12.95">
      <c r="A6" s="27" t="s">
        <v>13</v>
      </c>
      <c r="B6" s="27" t="s">
        <v>1438</v>
      </c>
      <c r="O6" s="38" t="s">
        <v>1462</v>
      </c>
      <c r="P6" s="44">
        <v>33.33</v>
      </c>
    </row>
    <row r="7" spans="1:16" s="27" customFormat="1" ht="12.95">
      <c r="A7" s="27" t="s">
        <v>15</v>
      </c>
      <c r="B7" s="37">
        <v>1</v>
      </c>
      <c r="O7" s="45" t="s">
        <v>1434</v>
      </c>
      <c r="P7" s="44">
        <f>P5/P6</f>
        <v>3.0003000300030003</v>
      </c>
    </row>
    <row r="8" spans="1:16" s="27" customFormat="1" ht="12.95">
      <c r="A8" s="27" t="s">
        <v>16</v>
      </c>
      <c r="B8" s="27" t="s">
        <v>17</v>
      </c>
    </row>
    <row r="9" spans="1:16" s="27" customFormat="1" ht="12.95">
      <c r="A9" s="27" t="s">
        <v>18</v>
      </c>
      <c r="B9" s="27" t="s">
        <v>18</v>
      </c>
    </row>
    <row r="10" spans="1:16" ht="15.6">
      <c r="A10" s="26" t="s">
        <v>19</v>
      </c>
    </row>
    <row r="11" spans="1:16"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row>
    <row r="12" spans="1:16" s="27" customFormat="1" ht="12.95">
      <c r="A12" s="27" t="str">
        <f>B2</f>
        <v>airport construction</v>
      </c>
      <c r="B12" s="27">
        <f>B7</f>
        <v>1</v>
      </c>
      <c r="C12" s="27" t="str">
        <f>B9</f>
        <v>unit</v>
      </c>
      <c r="D12" s="27" t="s">
        <v>2</v>
      </c>
      <c r="E12" s="27" t="s">
        <v>29</v>
      </c>
      <c r="F12" s="27" t="str">
        <f>B6</f>
        <v>NL</v>
      </c>
      <c r="G12" s="27" t="s">
        <v>30</v>
      </c>
      <c r="H12" s="27">
        <v>0</v>
      </c>
      <c r="I12" s="27">
        <f>B12</f>
        <v>1</v>
      </c>
    </row>
    <row r="13" spans="1:16" s="27" customFormat="1" ht="12.95">
      <c r="A13" s="37" t="s">
        <v>1463</v>
      </c>
      <c r="B13" s="42">
        <v>1</v>
      </c>
      <c r="C13" s="27" t="s">
        <v>18</v>
      </c>
      <c r="D13" s="27" t="s">
        <v>2</v>
      </c>
      <c r="E13" s="27" t="s">
        <v>29</v>
      </c>
      <c r="F13" s="27" t="s">
        <v>35</v>
      </c>
      <c r="G13" s="27" t="s">
        <v>33</v>
      </c>
      <c r="H13" s="27">
        <v>0</v>
      </c>
      <c r="I13" s="27">
        <f t="shared" ref="I13:I14" si="0">B13</f>
        <v>1</v>
      </c>
      <c r="J13" s="27" t="s">
        <v>31</v>
      </c>
      <c r="K13" s="27" t="s">
        <v>31</v>
      </c>
      <c r="L13" s="27" t="s">
        <v>31</v>
      </c>
      <c r="M13" s="27" t="s">
        <v>31</v>
      </c>
      <c r="N13" s="27" t="s">
        <v>1464</v>
      </c>
    </row>
    <row r="14" spans="1:16" s="27" customFormat="1" ht="12.95">
      <c r="A14" s="37" t="s">
        <v>1465</v>
      </c>
      <c r="B14" s="42">
        <v>1</v>
      </c>
      <c r="C14" s="27" t="s">
        <v>18</v>
      </c>
      <c r="D14" s="27" t="s">
        <v>2</v>
      </c>
      <c r="E14" s="27" t="s">
        <v>29</v>
      </c>
      <c r="F14" s="27" t="s">
        <v>35</v>
      </c>
      <c r="G14" s="27" t="s">
        <v>33</v>
      </c>
      <c r="H14" s="27">
        <v>0</v>
      </c>
      <c r="I14" s="27">
        <f t="shared" si="0"/>
        <v>1</v>
      </c>
      <c r="J14" s="27" t="s">
        <v>31</v>
      </c>
      <c r="K14" s="27" t="s">
        <v>31</v>
      </c>
      <c r="L14" s="27" t="s">
        <v>31</v>
      </c>
      <c r="M14" s="27" t="s">
        <v>31</v>
      </c>
      <c r="N14" s="27" t="s">
        <v>1466</v>
      </c>
    </row>
    <row r="15" spans="1:16" ht="15.6">
      <c r="A15" s="28" t="s">
        <v>5</v>
      </c>
      <c r="B15" s="28" t="s">
        <v>1463</v>
      </c>
      <c r="C15" s="29"/>
      <c r="D15" s="30"/>
      <c r="E15" s="30"/>
      <c r="F15" s="30"/>
      <c r="G15" s="30"/>
      <c r="H15" s="30"/>
      <c r="I15" s="30"/>
      <c r="J15" s="30"/>
      <c r="K15" s="30"/>
      <c r="L15" s="30"/>
      <c r="M15" s="30"/>
      <c r="N15" s="30"/>
    </row>
    <row r="16" spans="1:16" s="27" customFormat="1" ht="12.95">
      <c r="A16" s="27" t="s">
        <v>7</v>
      </c>
      <c r="B16" s="27" t="s">
        <v>1429</v>
      </c>
    </row>
    <row r="17" spans="1:14" s="27" customFormat="1" ht="12.95">
      <c r="A17" s="27" t="s">
        <v>9</v>
      </c>
      <c r="B17" s="27" t="s">
        <v>1467</v>
      </c>
    </row>
    <row r="18" spans="1:14" s="27" customFormat="1" ht="12.95">
      <c r="A18" s="27" t="s">
        <v>11</v>
      </c>
      <c r="B18" s="27" t="s">
        <v>1468</v>
      </c>
    </row>
    <row r="19" spans="1:14" s="27" customFormat="1" ht="12.95">
      <c r="A19" s="27" t="s">
        <v>13</v>
      </c>
      <c r="B19" s="27" t="s">
        <v>35</v>
      </c>
    </row>
    <row r="20" spans="1:14" s="27" customFormat="1" ht="12.95">
      <c r="A20" s="27" t="s">
        <v>15</v>
      </c>
      <c r="B20" s="37">
        <v>1</v>
      </c>
    </row>
    <row r="21" spans="1:14" s="27" customFormat="1" ht="12.95">
      <c r="A21" s="27" t="s">
        <v>16</v>
      </c>
      <c r="B21" s="27" t="s">
        <v>17</v>
      </c>
    </row>
    <row r="22" spans="1:14" s="27" customFormat="1" ht="12.95">
      <c r="A22" s="27" t="s">
        <v>18</v>
      </c>
      <c r="B22" s="27" t="s">
        <v>18</v>
      </c>
    </row>
    <row r="23" spans="1:14" ht="15.6">
      <c r="A23" s="26" t="s">
        <v>19</v>
      </c>
    </row>
    <row r="24" spans="1:14" ht="15.6">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187</v>
      </c>
    </row>
    <row r="25" spans="1:14" s="27" customFormat="1" ht="12.95">
      <c r="A25" s="27" t="str">
        <f>B15</f>
        <v>landside construction</v>
      </c>
      <c r="B25" s="27">
        <f>B20</f>
        <v>1</v>
      </c>
      <c r="C25" s="27" t="str">
        <f>B22</f>
        <v>unit</v>
      </c>
      <c r="D25" s="27" t="s">
        <v>2</v>
      </c>
      <c r="E25" s="27" t="s">
        <v>29</v>
      </c>
      <c r="F25" s="27" t="str">
        <f>B19</f>
        <v>RER</v>
      </c>
      <c r="G25" s="27" t="s">
        <v>30</v>
      </c>
      <c r="H25" s="27">
        <v>0</v>
      </c>
      <c r="I25" s="27">
        <f>B25</f>
        <v>1</v>
      </c>
      <c r="J25" s="27" t="s">
        <v>31</v>
      </c>
      <c r="K25" s="27" t="s">
        <v>31</v>
      </c>
      <c r="L25" s="27" t="s">
        <v>31</v>
      </c>
      <c r="M25" s="27" t="s">
        <v>31</v>
      </c>
    </row>
    <row r="26" spans="1:14" s="27" customFormat="1" ht="12.95">
      <c r="A26" s="37" t="s">
        <v>1469</v>
      </c>
      <c r="B26" s="42">
        <v>1</v>
      </c>
      <c r="C26" s="27" t="s">
        <v>18</v>
      </c>
      <c r="D26" s="27" t="s">
        <v>2</v>
      </c>
      <c r="E26" s="27" t="s">
        <v>29</v>
      </c>
      <c r="F26" s="27" t="s">
        <v>35</v>
      </c>
      <c r="G26" s="27" t="s">
        <v>33</v>
      </c>
      <c r="H26" s="27">
        <v>0</v>
      </c>
      <c r="I26" s="27">
        <f>B26</f>
        <v>1</v>
      </c>
      <c r="J26" s="27" t="s">
        <v>31</v>
      </c>
      <c r="K26" s="27" t="s">
        <v>31</v>
      </c>
      <c r="L26" s="27" t="s">
        <v>31</v>
      </c>
      <c r="M26" s="27" t="s">
        <v>31</v>
      </c>
      <c r="N26" s="27" t="s">
        <v>1470</v>
      </c>
    </row>
    <row r="27" spans="1:14" s="27" customFormat="1" ht="12.95">
      <c r="A27" s="37" t="s">
        <v>1471</v>
      </c>
      <c r="B27" s="42">
        <v>1</v>
      </c>
      <c r="C27" s="27" t="s">
        <v>18</v>
      </c>
      <c r="D27" s="27" t="s">
        <v>2</v>
      </c>
      <c r="E27" s="27" t="s">
        <v>29</v>
      </c>
      <c r="F27" s="27" t="s">
        <v>35</v>
      </c>
      <c r="G27" s="27" t="s">
        <v>33</v>
      </c>
      <c r="H27" s="27">
        <v>0</v>
      </c>
      <c r="I27" s="27">
        <f>B27</f>
        <v>1</v>
      </c>
      <c r="J27" s="27" t="s">
        <v>31</v>
      </c>
      <c r="K27" s="27" t="s">
        <v>31</v>
      </c>
      <c r="L27" s="27" t="s">
        <v>31</v>
      </c>
      <c r="M27" s="27" t="s">
        <v>31</v>
      </c>
      <c r="N27" s="27" t="s">
        <v>1472</v>
      </c>
    </row>
    <row r="28" spans="1:14" s="27" customFormat="1" ht="12.95">
      <c r="A28" s="37" t="s">
        <v>1473</v>
      </c>
      <c r="B28" s="42">
        <v>1</v>
      </c>
      <c r="C28" s="27" t="s">
        <v>18</v>
      </c>
      <c r="D28" s="27" t="s">
        <v>2</v>
      </c>
      <c r="E28" s="27" t="s">
        <v>29</v>
      </c>
      <c r="F28" s="27" t="s">
        <v>35</v>
      </c>
      <c r="G28" s="27" t="s">
        <v>33</v>
      </c>
      <c r="H28" s="27">
        <v>0</v>
      </c>
      <c r="I28" s="27">
        <f>B28</f>
        <v>1</v>
      </c>
      <c r="J28" s="27" t="s">
        <v>31</v>
      </c>
      <c r="K28" s="27" t="s">
        <v>31</v>
      </c>
      <c r="L28" s="27" t="s">
        <v>31</v>
      </c>
      <c r="M28" s="27" t="s">
        <v>31</v>
      </c>
      <c r="N28" s="27" t="s">
        <v>1466</v>
      </c>
    </row>
    <row r="29" spans="1:14" ht="15.6">
      <c r="A29" s="28" t="s">
        <v>5</v>
      </c>
      <c r="B29" s="28" t="s">
        <v>1469</v>
      </c>
      <c r="C29" s="29"/>
      <c r="D29" s="30"/>
      <c r="E29" s="30"/>
      <c r="F29" s="30"/>
      <c r="G29" s="30"/>
      <c r="H29" s="30"/>
      <c r="I29" s="30"/>
      <c r="J29" s="30"/>
      <c r="K29" s="30"/>
      <c r="L29" s="30"/>
      <c r="M29" s="30"/>
      <c r="N29" s="30"/>
    </row>
    <row r="30" spans="1:14" s="27" customFormat="1" ht="12.95">
      <c r="A30" s="27" t="s">
        <v>7</v>
      </c>
      <c r="B30" s="27" t="s">
        <v>1429</v>
      </c>
    </row>
    <row r="31" spans="1:14" s="27" customFormat="1" ht="12.95">
      <c r="A31" s="27" t="s">
        <v>9</v>
      </c>
      <c r="B31" s="27" t="s">
        <v>1474</v>
      </c>
    </row>
    <row r="32" spans="1:14" s="27" customFormat="1" ht="12.95">
      <c r="A32" s="27" t="s">
        <v>11</v>
      </c>
      <c r="B32" s="27" t="s">
        <v>1475</v>
      </c>
    </row>
    <row r="33" spans="1:14" s="27" customFormat="1" ht="12.95">
      <c r="A33" s="27" t="s">
        <v>13</v>
      </c>
      <c r="B33" s="27" t="s">
        <v>35</v>
      </c>
    </row>
    <row r="34" spans="1:14" s="27" customFormat="1" ht="12.95">
      <c r="A34" s="27" t="s">
        <v>15</v>
      </c>
      <c r="B34" s="37">
        <v>1</v>
      </c>
    </row>
    <row r="35" spans="1:14" s="27" customFormat="1" ht="12.95">
      <c r="A35" s="27" t="s">
        <v>16</v>
      </c>
      <c r="B35" s="27" t="s">
        <v>17</v>
      </c>
    </row>
    <row r="36" spans="1:14" s="27" customFormat="1" ht="12.95">
      <c r="A36" s="27" t="s">
        <v>18</v>
      </c>
      <c r="B36" s="27" t="s">
        <v>18</v>
      </c>
    </row>
    <row r="37" spans="1:14" ht="15.6">
      <c r="A37" s="26" t="s">
        <v>19</v>
      </c>
    </row>
    <row r="38" spans="1:14" ht="15.6">
      <c r="A38" s="26" t="s">
        <v>20</v>
      </c>
      <c r="B38" s="26" t="s">
        <v>21</v>
      </c>
      <c r="C38" s="26" t="s">
        <v>18</v>
      </c>
      <c r="D38" s="26" t="s">
        <v>22</v>
      </c>
      <c r="E38" s="26" t="s">
        <v>7</v>
      </c>
      <c r="F38" s="26" t="s">
        <v>13</v>
      </c>
      <c r="G38" s="26" t="s">
        <v>16</v>
      </c>
      <c r="H38" s="26" t="s">
        <v>23</v>
      </c>
      <c r="I38" s="26" t="s">
        <v>24</v>
      </c>
      <c r="J38" s="26" t="s">
        <v>25</v>
      </c>
      <c r="K38" s="26" t="s">
        <v>26</v>
      </c>
      <c r="L38" s="26" t="s">
        <v>27</v>
      </c>
      <c r="M38" s="26" t="s">
        <v>28</v>
      </c>
      <c r="N38" s="26" t="s">
        <v>187</v>
      </c>
    </row>
    <row r="39" spans="1:14" s="27" customFormat="1" ht="12.95">
      <c r="A39" s="27" t="str">
        <f>B29</f>
        <v>landside building construction</v>
      </c>
      <c r="B39" s="27">
        <f>B34</f>
        <v>1</v>
      </c>
      <c r="C39" s="27" t="str">
        <f>B36</f>
        <v>unit</v>
      </c>
      <c r="D39" s="27" t="s">
        <v>2</v>
      </c>
      <c r="E39" s="27" t="s">
        <v>29</v>
      </c>
      <c r="F39" s="27" t="str">
        <f>B33</f>
        <v>RER</v>
      </c>
      <c r="G39" s="27" t="s">
        <v>30</v>
      </c>
      <c r="H39" s="27">
        <v>0</v>
      </c>
      <c r="I39" s="27">
        <f>B39</f>
        <v>1</v>
      </c>
      <c r="J39" s="27" t="s">
        <v>31</v>
      </c>
      <c r="K39" s="27" t="s">
        <v>31</v>
      </c>
      <c r="L39" s="27" t="s">
        <v>31</v>
      </c>
      <c r="M39" s="27" t="s">
        <v>31</v>
      </c>
    </row>
    <row r="40" spans="1:14" s="27" customFormat="1" ht="12.95">
      <c r="A40" s="27" t="s">
        <v>1476</v>
      </c>
      <c r="B40" s="27">
        <v>49625</v>
      </c>
      <c r="C40" s="27" t="s">
        <v>609</v>
      </c>
      <c r="D40" s="27" t="s">
        <v>43</v>
      </c>
      <c r="E40" s="27" t="s">
        <v>1477</v>
      </c>
      <c r="F40" s="27" t="s">
        <v>29</v>
      </c>
      <c r="G40" s="27" t="s">
        <v>45</v>
      </c>
      <c r="H40" s="27">
        <v>0</v>
      </c>
      <c r="I40" s="27">
        <f>B40</f>
        <v>49625</v>
      </c>
      <c r="J40" s="27" t="s">
        <v>31</v>
      </c>
      <c r="K40" s="27" t="s">
        <v>31</v>
      </c>
      <c r="L40" s="27" t="s">
        <v>31</v>
      </c>
      <c r="M40" s="27" t="s">
        <v>31</v>
      </c>
      <c r="N40" s="27" t="s">
        <v>1478</v>
      </c>
    </row>
    <row r="41" spans="1:14" s="27" customFormat="1" ht="12.95">
      <c r="A41" s="27" t="s">
        <v>1479</v>
      </c>
      <c r="B41" s="27">
        <f>100*B40</f>
        <v>4962500</v>
      </c>
      <c r="C41" s="27" t="s">
        <v>1480</v>
      </c>
      <c r="D41" s="27" t="s">
        <v>43</v>
      </c>
      <c r="E41" s="27" t="s">
        <v>1477</v>
      </c>
      <c r="F41" s="27" t="s">
        <v>29</v>
      </c>
      <c r="G41" s="27" t="s">
        <v>45</v>
      </c>
      <c r="H41" s="27">
        <v>0</v>
      </c>
      <c r="I41" s="27">
        <f>B41</f>
        <v>4962500</v>
      </c>
      <c r="J41" s="27" t="s">
        <v>31</v>
      </c>
      <c r="K41" s="27" t="s">
        <v>31</v>
      </c>
      <c r="L41" s="27" t="s">
        <v>31</v>
      </c>
      <c r="M41" s="27" t="s">
        <v>31</v>
      </c>
      <c r="N41" s="27" t="s">
        <v>1481</v>
      </c>
    </row>
    <row r="42" spans="1:14" s="27" customFormat="1" ht="12.95">
      <c r="A42" s="37" t="s">
        <v>1482</v>
      </c>
      <c r="B42" s="42">
        <f>B40*0.7</f>
        <v>34737.5</v>
      </c>
      <c r="C42" s="27" t="s">
        <v>609</v>
      </c>
      <c r="D42" s="27" t="s">
        <v>40</v>
      </c>
      <c r="E42" s="27" t="s">
        <v>29</v>
      </c>
      <c r="F42" s="27" t="s">
        <v>59</v>
      </c>
      <c r="G42" s="27" t="s">
        <v>33</v>
      </c>
      <c r="H42" s="27">
        <v>0</v>
      </c>
      <c r="I42" s="27">
        <f t="shared" ref="I42:I43" si="1">B42</f>
        <v>34737.5</v>
      </c>
      <c r="J42" s="27" t="s">
        <v>31</v>
      </c>
      <c r="K42" s="27" t="s">
        <v>31</v>
      </c>
      <c r="L42" s="27" t="s">
        <v>31</v>
      </c>
      <c r="M42" s="27" t="s">
        <v>31</v>
      </c>
      <c r="N42" s="27" t="s">
        <v>1483</v>
      </c>
    </row>
    <row r="43" spans="1:14" s="27" customFormat="1" ht="12.95">
      <c r="A43" s="46" t="s">
        <v>1484</v>
      </c>
      <c r="B43" s="42">
        <f>B40*0.3*5*2.5*P7</f>
        <v>558337.0837083708</v>
      </c>
      <c r="C43" s="27" t="s">
        <v>42</v>
      </c>
      <c r="D43" s="27" t="s">
        <v>40</v>
      </c>
      <c r="E43" s="27" t="s">
        <v>29</v>
      </c>
      <c r="F43" s="27" t="s">
        <v>59</v>
      </c>
      <c r="G43" s="27" t="s">
        <v>33</v>
      </c>
      <c r="H43" s="27">
        <v>0</v>
      </c>
      <c r="I43" s="27">
        <f t="shared" si="1"/>
        <v>558337.0837083708</v>
      </c>
      <c r="J43" s="27" t="s">
        <v>31</v>
      </c>
      <c r="K43" s="27" t="s">
        <v>31</v>
      </c>
      <c r="L43" s="27" t="s">
        <v>31</v>
      </c>
      <c r="M43" s="27" t="s">
        <v>31</v>
      </c>
      <c r="N43" s="27" t="s">
        <v>1485</v>
      </c>
    </row>
    <row r="44" spans="1:14" ht="15.6">
      <c r="A44" s="28" t="s">
        <v>5</v>
      </c>
      <c r="B44" s="28" t="s">
        <v>1471</v>
      </c>
      <c r="C44" s="29"/>
      <c r="D44" s="30"/>
      <c r="E44" s="30"/>
      <c r="F44" s="30"/>
      <c r="G44" s="30"/>
      <c r="H44" s="30"/>
      <c r="I44" s="30"/>
      <c r="J44" s="30"/>
      <c r="K44" s="30"/>
      <c r="L44" s="30"/>
      <c r="M44" s="30"/>
      <c r="N44" s="30"/>
    </row>
    <row r="45" spans="1:14" s="27" customFormat="1" ht="12.95">
      <c r="A45" s="27" t="s">
        <v>7</v>
      </c>
      <c r="B45" s="27" t="s">
        <v>1429</v>
      </c>
    </row>
    <row r="46" spans="1:14" s="27" customFormat="1" ht="12.95">
      <c r="A46" s="27" t="s">
        <v>9</v>
      </c>
      <c r="B46" s="27" t="s">
        <v>1486</v>
      </c>
    </row>
    <row r="47" spans="1:14" s="27" customFormat="1" ht="12.95">
      <c r="A47" s="27" t="s">
        <v>11</v>
      </c>
      <c r="B47" s="27" t="s">
        <v>1487</v>
      </c>
    </row>
    <row r="48" spans="1:14" s="27" customFormat="1" ht="12.95">
      <c r="A48" s="27" t="s">
        <v>13</v>
      </c>
      <c r="B48" s="27" t="s">
        <v>35</v>
      </c>
    </row>
    <row r="49" spans="1:14" s="27" customFormat="1" ht="12.95">
      <c r="A49" s="27" t="s">
        <v>15</v>
      </c>
      <c r="B49" s="37">
        <v>1</v>
      </c>
    </row>
    <row r="50" spans="1:14" s="27" customFormat="1" ht="12.95">
      <c r="A50" s="27" t="s">
        <v>16</v>
      </c>
      <c r="B50" s="27" t="s">
        <v>17</v>
      </c>
    </row>
    <row r="51" spans="1:14" s="27" customFormat="1" ht="12.95">
      <c r="A51" s="27" t="s">
        <v>18</v>
      </c>
      <c r="B51" s="27" t="s">
        <v>18</v>
      </c>
    </row>
    <row r="52" spans="1:14" ht="15.6">
      <c r="A52" s="26" t="s">
        <v>19</v>
      </c>
    </row>
    <row r="53" spans="1:14" ht="15.6">
      <c r="A53" s="26" t="s">
        <v>20</v>
      </c>
      <c r="B53" s="26" t="s">
        <v>21</v>
      </c>
      <c r="C53" s="26" t="s">
        <v>18</v>
      </c>
      <c r="D53" s="26" t="s">
        <v>22</v>
      </c>
      <c r="E53" s="26" t="s">
        <v>7</v>
      </c>
      <c r="F53" s="26" t="s">
        <v>13</v>
      </c>
      <c r="G53" s="26" t="s">
        <v>16</v>
      </c>
      <c r="H53" s="26" t="s">
        <v>23</v>
      </c>
      <c r="I53" s="26" t="s">
        <v>24</v>
      </c>
      <c r="J53" s="26" t="s">
        <v>25</v>
      </c>
      <c r="K53" s="26" t="s">
        <v>26</v>
      </c>
      <c r="L53" s="26" t="s">
        <v>27</v>
      </c>
      <c r="M53" s="26" t="s">
        <v>28</v>
      </c>
      <c r="N53" s="26" t="s">
        <v>187</v>
      </c>
    </row>
    <row r="54" spans="1:14" s="27" customFormat="1" ht="12.95">
      <c r="A54" s="27" t="str">
        <f>B44</f>
        <v>parking construction</v>
      </c>
      <c r="B54" s="27">
        <f>B49</f>
        <v>1</v>
      </c>
      <c r="C54" s="27" t="str">
        <f>B51</f>
        <v>unit</v>
      </c>
      <c r="D54" s="27" t="s">
        <v>2</v>
      </c>
      <c r="E54" s="27" t="s">
        <v>29</v>
      </c>
      <c r="F54" s="27" t="str">
        <f>B48</f>
        <v>RER</v>
      </c>
      <c r="G54" s="27" t="s">
        <v>30</v>
      </c>
      <c r="H54" s="27">
        <v>0</v>
      </c>
      <c r="I54" s="27">
        <f>B54</f>
        <v>1</v>
      </c>
      <c r="J54" s="27" t="s">
        <v>31</v>
      </c>
      <c r="K54" s="27" t="s">
        <v>31</v>
      </c>
      <c r="L54" s="27" t="s">
        <v>31</v>
      </c>
      <c r="M54" s="27" t="s">
        <v>31</v>
      </c>
    </row>
    <row r="55" spans="1:14" s="27" customFormat="1" ht="12.95">
      <c r="A55" s="37" t="s">
        <v>1488</v>
      </c>
      <c r="B55" s="27">
        <v>96841</v>
      </c>
      <c r="C55" s="27" t="s">
        <v>609</v>
      </c>
      <c r="D55" s="27" t="s">
        <v>43</v>
      </c>
      <c r="E55" s="27" t="s">
        <v>1477</v>
      </c>
      <c r="F55" s="27" t="s">
        <v>29</v>
      </c>
      <c r="G55" s="27" t="s">
        <v>45</v>
      </c>
      <c r="H55" s="27">
        <v>0</v>
      </c>
      <c r="I55" s="27">
        <f>B55</f>
        <v>96841</v>
      </c>
      <c r="J55" s="27" t="s">
        <v>31</v>
      </c>
      <c r="K55" s="27" t="s">
        <v>31</v>
      </c>
      <c r="L55" s="27" t="s">
        <v>31</v>
      </c>
      <c r="M55" s="27" t="s">
        <v>31</v>
      </c>
      <c r="N55" s="27" t="s">
        <v>1478</v>
      </c>
    </row>
    <row r="56" spans="1:14" s="27" customFormat="1" ht="12.95">
      <c r="A56" s="27" t="s">
        <v>1489</v>
      </c>
      <c r="B56" s="27">
        <f>100*B55</f>
        <v>9684100</v>
      </c>
      <c r="C56" s="27" t="s">
        <v>1480</v>
      </c>
      <c r="D56" s="27" t="s">
        <v>43</v>
      </c>
      <c r="E56" s="27" t="s">
        <v>1477</v>
      </c>
      <c r="F56" s="27" t="s">
        <v>29</v>
      </c>
      <c r="G56" s="27" t="s">
        <v>45</v>
      </c>
      <c r="H56" s="27">
        <v>0</v>
      </c>
      <c r="I56" s="27">
        <f>B56</f>
        <v>9684100</v>
      </c>
      <c r="J56" s="27" t="s">
        <v>31</v>
      </c>
      <c r="K56" s="27" t="s">
        <v>31</v>
      </c>
      <c r="L56" s="27" t="s">
        <v>31</v>
      </c>
      <c r="M56" s="27" t="s">
        <v>31</v>
      </c>
      <c r="N56" s="27" t="s">
        <v>1481</v>
      </c>
    </row>
    <row r="57" spans="1:14" s="27" customFormat="1" ht="12.95">
      <c r="A57" s="47" t="s">
        <v>1490</v>
      </c>
      <c r="B57" s="42">
        <f>B55*0.3*P7</f>
        <v>87165.616561656163</v>
      </c>
      <c r="C57" s="27" t="s">
        <v>42</v>
      </c>
      <c r="D57" s="27" t="s">
        <v>40</v>
      </c>
      <c r="E57" s="27" t="s">
        <v>29</v>
      </c>
      <c r="F57" s="27" t="s">
        <v>82</v>
      </c>
      <c r="G57" s="27" t="s">
        <v>33</v>
      </c>
      <c r="H57" s="27">
        <v>0</v>
      </c>
      <c r="I57" s="27">
        <f t="shared" ref="I57" si="2">B57</f>
        <v>87165.616561656163</v>
      </c>
      <c r="J57" s="27" t="s">
        <v>31</v>
      </c>
      <c r="K57" s="27" t="s">
        <v>31</v>
      </c>
      <c r="L57" s="27" t="s">
        <v>31</v>
      </c>
      <c r="M57" s="27" t="s">
        <v>31</v>
      </c>
      <c r="N57" s="27" t="s">
        <v>1491</v>
      </c>
    </row>
    <row r="58" spans="1:14" ht="15.6">
      <c r="A58" s="28" t="s">
        <v>5</v>
      </c>
      <c r="B58" s="28" t="s">
        <v>1473</v>
      </c>
      <c r="C58" s="29"/>
      <c r="D58" s="30"/>
      <c r="E58" s="30"/>
      <c r="F58" s="30"/>
      <c r="G58" s="30"/>
      <c r="H58" s="30"/>
      <c r="I58" s="30"/>
      <c r="J58" s="30"/>
      <c r="K58" s="30"/>
      <c r="L58" s="30"/>
      <c r="M58" s="30"/>
      <c r="N58" s="30"/>
    </row>
    <row r="59" spans="1:14" s="27" customFormat="1" ht="12.95">
      <c r="A59" s="27" t="s">
        <v>7</v>
      </c>
      <c r="B59" s="27" t="s">
        <v>1429</v>
      </c>
    </row>
    <row r="60" spans="1:14" s="27" customFormat="1" ht="12.95">
      <c r="A60" s="27" t="s">
        <v>9</v>
      </c>
      <c r="B60" s="27" t="s">
        <v>1492</v>
      </c>
    </row>
    <row r="61" spans="1:14" s="27" customFormat="1" ht="12.95">
      <c r="A61" s="27" t="s">
        <v>11</v>
      </c>
      <c r="B61" s="27" t="s">
        <v>1493</v>
      </c>
    </row>
    <row r="62" spans="1:14" s="27" customFormat="1" ht="12.95">
      <c r="A62" s="27" t="s">
        <v>13</v>
      </c>
      <c r="B62" s="27" t="s">
        <v>35</v>
      </c>
    </row>
    <row r="63" spans="1:14" s="27" customFormat="1" ht="12.95">
      <c r="A63" s="27" t="s">
        <v>15</v>
      </c>
      <c r="B63" s="37">
        <v>1</v>
      </c>
    </row>
    <row r="64" spans="1:14" s="27" customFormat="1" ht="12.95">
      <c r="A64" s="27" t="s">
        <v>16</v>
      </c>
      <c r="B64" s="27" t="s">
        <v>17</v>
      </c>
    </row>
    <row r="65" spans="1:14" s="27" customFormat="1" ht="12.95">
      <c r="A65" s="27" t="s">
        <v>18</v>
      </c>
      <c r="B65" s="27" t="s">
        <v>18</v>
      </c>
    </row>
    <row r="66" spans="1:14" ht="15.6">
      <c r="A66" s="26" t="s">
        <v>19</v>
      </c>
    </row>
    <row r="67" spans="1:14" ht="15.6">
      <c r="A67" s="26" t="s">
        <v>20</v>
      </c>
      <c r="B67" s="26" t="s">
        <v>21</v>
      </c>
      <c r="C67" s="26" t="s">
        <v>18</v>
      </c>
      <c r="D67" s="26" t="s">
        <v>22</v>
      </c>
      <c r="E67" s="26" t="s">
        <v>7</v>
      </c>
      <c r="F67" s="26" t="s">
        <v>13</v>
      </c>
      <c r="G67" s="26" t="s">
        <v>16</v>
      </c>
      <c r="H67" s="26" t="s">
        <v>23</v>
      </c>
      <c r="I67" s="26" t="s">
        <v>24</v>
      </c>
      <c r="J67" s="26" t="s">
        <v>25</v>
      </c>
      <c r="K67" s="26" t="s">
        <v>26</v>
      </c>
      <c r="L67" s="26" t="s">
        <v>27</v>
      </c>
      <c r="M67" s="26" t="s">
        <v>28</v>
      </c>
      <c r="N67" s="26" t="s">
        <v>187</v>
      </c>
    </row>
    <row r="68" spans="1:14" s="27" customFormat="1" ht="12.95">
      <c r="A68" s="27" t="str">
        <f>B58</f>
        <v>landside green areas</v>
      </c>
      <c r="B68" s="27">
        <f>B63</f>
        <v>1</v>
      </c>
      <c r="C68" s="27" t="str">
        <f>B65</f>
        <v>unit</v>
      </c>
      <c r="D68" s="27" t="s">
        <v>2</v>
      </c>
      <c r="E68" s="27" t="s">
        <v>29</v>
      </c>
      <c r="F68" s="27" t="str">
        <f>B62</f>
        <v>RER</v>
      </c>
      <c r="G68" s="27" t="s">
        <v>30</v>
      </c>
      <c r="H68" s="27">
        <v>0</v>
      </c>
      <c r="I68" s="27">
        <f>B68</f>
        <v>1</v>
      </c>
      <c r="J68" s="27" t="s">
        <v>31</v>
      </c>
      <c r="K68" s="27" t="s">
        <v>31</v>
      </c>
      <c r="L68" s="27" t="s">
        <v>31</v>
      </c>
      <c r="M68" s="27" t="s">
        <v>31</v>
      </c>
    </row>
    <row r="69" spans="1:14" s="27" customFormat="1" ht="12.95">
      <c r="A69" s="37" t="s">
        <v>1494</v>
      </c>
      <c r="B69" s="42">
        <f>466000-B40-B55</f>
        <v>319534</v>
      </c>
      <c r="C69" s="27" t="s">
        <v>609</v>
      </c>
      <c r="D69" s="27" t="s">
        <v>43</v>
      </c>
      <c r="E69" s="27" t="s">
        <v>1477</v>
      </c>
      <c r="F69" s="27" t="s">
        <v>29</v>
      </c>
      <c r="G69" s="27" t="s">
        <v>45</v>
      </c>
      <c r="H69" s="27">
        <v>0</v>
      </c>
      <c r="I69" s="27">
        <f t="shared" ref="I69" si="3">B69</f>
        <v>319534</v>
      </c>
      <c r="J69" s="27" t="s">
        <v>31</v>
      </c>
      <c r="K69" s="27" t="s">
        <v>31</v>
      </c>
      <c r="L69" s="27" t="s">
        <v>31</v>
      </c>
      <c r="M69" s="27" t="s">
        <v>31</v>
      </c>
      <c r="N69" s="27" t="s">
        <v>1478</v>
      </c>
    </row>
    <row r="70" spans="1:14" s="27" customFormat="1" ht="15.6">
      <c r="A70" s="28" t="s">
        <v>5</v>
      </c>
      <c r="B70" s="28" t="s">
        <v>1465</v>
      </c>
      <c r="C70" s="29"/>
      <c r="D70" s="30"/>
      <c r="E70" s="30"/>
      <c r="F70" s="30"/>
      <c r="G70" s="30"/>
      <c r="H70" s="30"/>
      <c r="I70" s="30"/>
      <c r="J70" s="30"/>
      <c r="K70" s="30"/>
      <c r="L70" s="30"/>
      <c r="M70" s="30"/>
      <c r="N70" s="30"/>
    </row>
    <row r="71" spans="1:14" s="27" customFormat="1" ht="12.95">
      <c r="A71" s="27" t="s">
        <v>7</v>
      </c>
      <c r="B71" s="27" t="s">
        <v>1429</v>
      </c>
    </row>
    <row r="72" spans="1:14" s="27" customFormat="1" ht="12.95">
      <c r="A72" s="27" t="s">
        <v>9</v>
      </c>
      <c r="B72" s="27" t="s">
        <v>1495</v>
      </c>
    </row>
    <row r="73" spans="1:14">
      <c r="A73" s="27" t="s">
        <v>11</v>
      </c>
      <c r="B73" s="27" t="s">
        <v>1496</v>
      </c>
      <c r="C73" s="27"/>
      <c r="D73" s="27"/>
      <c r="E73" s="27"/>
      <c r="F73" s="27"/>
      <c r="G73" s="27"/>
      <c r="H73" s="27"/>
      <c r="I73" s="27"/>
      <c r="J73" s="27"/>
      <c r="K73" s="27"/>
      <c r="L73" s="27"/>
      <c r="M73" s="27"/>
      <c r="N73" s="27"/>
    </row>
    <row r="74" spans="1:14">
      <c r="A74" s="27" t="s">
        <v>13</v>
      </c>
      <c r="B74" s="27" t="s">
        <v>35</v>
      </c>
      <c r="C74" s="27"/>
      <c r="D74" s="27"/>
      <c r="E74" s="27"/>
      <c r="F74" s="27"/>
      <c r="G74" s="27"/>
      <c r="H74" s="27"/>
      <c r="I74" s="27"/>
      <c r="J74" s="27"/>
      <c r="K74" s="27"/>
      <c r="L74" s="27"/>
      <c r="M74" s="27"/>
      <c r="N74" s="27"/>
    </row>
    <row r="75" spans="1:14">
      <c r="A75" s="27" t="s">
        <v>15</v>
      </c>
      <c r="B75" s="37">
        <v>1</v>
      </c>
      <c r="C75" s="27"/>
      <c r="D75" s="27"/>
      <c r="E75" s="27"/>
      <c r="F75" s="27"/>
      <c r="G75" s="27"/>
      <c r="H75" s="27"/>
      <c r="I75" s="27"/>
      <c r="J75" s="27"/>
      <c r="K75" s="27"/>
      <c r="L75" s="27"/>
      <c r="M75" s="27"/>
      <c r="N75" s="27"/>
    </row>
    <row r="76" spans="1:14">
      <c r="A76" s="27" t="s">
        <v>16</v>
      </c>
      <c r="B76" s="27" t="s">
        <v>17</v>
      </c>
      <c r="C76" s="27"/>
      <c r="D76" s="27"/>
      <c r="E76" s="27"/>
      <c r="F76" s="27"/>
      <c r="G76" s="27"/>
      <c r="H76" s="27"/>
      <c r="I76" s="27"/>
      <c r="J76" s="27"/>
      <c r="K76" s="27"/>
      <c r="L76" s="27"/>
      <c r="M76" s="27"/>
      <c r="N76" s="27"/>
    </row>
    <row r="77" spans="1:14">
      <c r="A77" s="27" t="s">
        <v>18</v>
      </c>
      <c r="B77" s="27" t="s">
        <v>18</v>
      </c>
      <c r="C77" s="27"/>
      <c r="D77" s="27"/>
      <c r="E77" s="27"/>
      <c r="F77" s="27"/>
      <c r="G77" s="27"/>
      <c r="H77" s="27"/>
      <c r="I77" s="27"/>
      <c r="J77" s="27"/>
      <c r="K77" s="27"/>
      <c r="L77" s="27"/>
      <c r="M77" s="27"/>
      <c r="N77" s="27"/>
    </row>
    <row r="78" spans="1:14" ht="15.6">
      <c r="A78" s="26" t="s">
        <v>19</v>
      </c>
    </row>
    <row r="79" spans="1:14" ht="15.6">
      <c r="A79" s="26" t="s">
        <v>20</v>
      </c>
      <c r="B79" s="26" t="s">
        <v>21</v>
      </c>
      <c r="C79" s="26" t="s">
        <v>18</v>
      </c>
      <c r="D79" s="26" t="s">
        <v>22</v>
      </c>
      <c r="E79" s="26" t="s">
        <v>7</v>
      </c>
      <c r="F79" s="26" t="s">
        <v>13</v>
      </c>
      <c r="G79" s="26" t="s">
        <v>16</v>
      </c>
      <c r="H79" s="26" t="s">
        <v>23</v>
      </c>
      <c r="I79" s="26" t="s">
        <v>24</v>
      </c>
      <c r="J79" s="26" t="s">
        <v>25</v>
      </c>
      <c r="K79" s="26" t="s">
        <v>26</v>
      </c>
      <c r="L79" s="26" t="s">
        <v>27</v>
      </c>
      <c r="M79" s="26" t="s">
        <v>28</v>
      </c>
      <c r="N79" s="26" t="s">
        <v>187</v>
      </c>
    </row>
    <row r="80" spans="1:14">
      <c r="A80" s="27" t="str">
        <f>B70</f>
        <v>airside construction</v>
      </c>
      <c r="B80" s="27">
        <f>B75</f>
        <v>1</v>
      </c>
      <c r="C80" s="27" t="str">
        <f>B77</f>
        <v>unit</v>
      </c>
      <c r="D80" s="27" t="s">
        <v>2</v>
      </c>
      <c r="E80" s="27" t="s">
        <v>29</v>
      </c>
      <c r="F80" s="27" t="str">
        <f>B74</f>
        <v>RER</v>
      </c>
      <c r="G80" s="27" t="s">
        <v>30</v>
      </c>
      <c r="H80" s="27">
        <v>0</v>
      </c>
      <c r="I80" s="27">
        <f>B80</f>
        <v>1</v>
      </c>
      <c r="J80" s="27" t="s">
        <v>31</v>
      </c>
      <c r="K80" s="27" t="s">
        <v>31</v>
      </c>
      <c r="L80" s="27" t="s">
        <v>31</v>
      </c>
      <c r="M80" s="27" t="s">
        <v>31</v>
      </c>
      <c r="N80" s="27"/>
    </row>
    <row r="81" spans="1:14">
      <c r="A81" s="37" t="s">
        <v>1497</v>
      </c>
      <c r="B81" s="42">
        <v>1</v>
      </c>
      <c r="C81" s="27" t="s">
        <v>18</v>
      </c>
      <c r="D81" s="27" t="s">
        <v>2</v>
      </c>
      <c r="E81" s="27" t="s">
        <v>29</v>
      </c>
      <c r="F81" s="27" t="s">
        <v>35</v>
      </c>
      <c r="G81" s="27" t="s">
        <v>33</v>
      </c>
      <c r="H81" s="27">
        <v>0</v>
      </c>
      <c r="I81" s="27">
        <f>B81</f>
        <v>1</v>
      </c>
      <c r="J81" s="27" t="s">
        <v>31</v>
      </c>
      <c r="K81" s="27" t="s">
        <v>31</v>
      </c>
      <c r="L81" s="27" t="s">
        <v>31</v>
      </c>
      <c r="M81" s="27" t="s">
        <v>31</v>
      </c>
      <c r="N81" s="27" t="s">
        <v>1498</v>
      </c>
    </row>
    <row r="82" spans="1:14">
      <c r="A82" s="37" t="s">
        <v>1499</v>
      </c>
      <c r="B82" s="42">
        <v>1</v>
      </c>
      <c r="C82" s="27" t="s">
        <v>18</v>
      </c>
      <c r="D82" s="27" t="s">
        <v>2</v>
      </c>
      <c r="E82" s="27" t="s">
        <v>29</v>
      </c>
      <c r="F82" s="27" t="s">
        <v>35</v>
      </c>
      <c r="G82" s="27" t="s">
        <v>33</v>
      </c>
      <c r="H82" s="27">
        <v>0</v>
      </c>
      <c r="I82" s="27">
        <f>B82</f>
        <v>1</v>
      </c>
      <c r="J82" s="27" t="s">
        <v>31</v>
      </c>
      <c r="K82" s="27" t="s">
        <v>31</v>
      </c>
      <c r="L82" s="27" t="s">
        <v>31</v>
      </c>
      <c r="M82" s="27" t="s">
        <v>31</v>
      </c>
      <c r="N82" s="27" t="s">
        <v>1500</v>
      </c>
    </row>
    <row r="83" spans="1:14">
      <c r="A83" s="37" t="s">
        <v>1501</v>
      </c>
      <c r="B83" s="42">
        <v>1</v>
      </c>
      <c r="C83" s="27" t="s">
        <v>18</v>
      </c>
      <c r="D83" s="27" t="s">
        <v>2</v>
      </c>
      <c r="E83" s="27" t="s">
        <v>29</v>
      </c>
      <c r="F83" s="27" t="s">
        <v>35</v>
      </c>
      <c r="G83" s="27" t="s">
        <v>33</v>
      </c>
      <c r="H83" s="27">
        <v>0</v>
      </c>
      <c r="I83" s="27">
        <f>B83</f>
        <v>1</v>
      </c>
      <c r="J83" s="27" t="s">
        <v>31</v>
      </c>
      <c r="K83" s="27" t="s">
        <v>31</v>
      </c>
      <c r="L83" s="27" t="s">
        <v>31</v>
      </c>
      <c r="M83" s="27" t="s">
        <v>31</v>
      </c>
      <c r="N83" s="27" t="s">
        <v>1502</v>
      </c>
    </row>
    <row r="84" spans="1:14">
      <c r="A84" s="37" t="s">
        <v>1503</v>
      </c>
      <c r="B84" s="42">
        <v>1</v>
      </c>
      <c r="C84" s="27" t="s">
        <v>18</v>
      </c>
      <c r="D84" s="27" t="s">
        <v>2</v>
      </c>
      <c r="E84" s="27" t="s">
        <v>29</v>
      </c>
      <c r="F84" s="27" t="s">
        <v>35</v>
      </c>
      <c r="G84" s="27" t="s">
        <v>33</v>
      </c>
      <c r="H84" s="27">
        <v>0</v>
      </c>
      <c r="I84" s="27">
        <f t="shared" ref="I84:I87" si="4">B84</f>
        <v>1</v>
      </c>
      <c r="J84" s="27" t="s">
        <v>31</v>
      </c>
      <c r="K84" s="27" t="s">
        <v>31</v>
      </c>
      <c r="L84" s="27" t="s">
        <v>31</v>
      </c>
      <c r="M84" s="27" t="s">
        <v>31</v>
      </c>
      <c r="N84" s="27" t="s">
        <v>1504</v>
      </c>
    </row>
    <row r="85" spans="1:14">
      <c r="A85" s="37" t="s">
        <v>1505</v>
      </c>
      <c r="B85" s="42">
        <v>1</v>
      </c>
      <c r="C85" s="27" t="s">
        <v>18</v>
      </c>
      <c r="D85" s="27" t="s">
        <v>2</v>
      </c>
      <c r="E85" s="27" t="s">
        <v>29</v>
      </c>
      <c r="F85" s="27" t="s">
        <v>35</v>
      </c>
      <c r="G85" s="27" t="s">
        <v>33</v>
      </c>
      <c r="H85" s="27">
        <v>0</v>
      </c>
      <c r="I85" s="27">
        <f t="shared" si="4"/>
        <v>1</v>
      </c>
      <c r="J85" s="27" t="s">
        <v>31</v>
      </c>
      <c r="K85" s="27" t="s">
        <v>31</v>
      </c>
      <c r="L85" s="27" t="s">
        <v>31</v>
      </c>
      <c r="M85" s="27" t="s">
        <v>31</v>
      </c>
      <c r="N85" s="27" t="s">
        <v>1506</v>
      </c>
    </row>
    <row r="86" spans="1:14">
      <c r="A86" s="37" t="s">
        <v>1507</v>
      </c>
      <c r="B86" s="42">
        <v>1</v>
      </c>
      <c r="C86" s="27" t="s">
        <v>18</v>
      </c>
      <c r="D86" s="27" t="s">
        <v>2</v>
      </c>
      <c r="E86" s="27" t="s">
        <v>29</v>
      </c>
      <c r="F86" s="27" t="s">
        <v>35</v>
      </c>
      <c r="G86" s="27" t="s">
        <v>33</v>
      </c>
      <c r="H86" s="27">
        <v>0</v>
      </c>
      <c r="I86" s="27">
        <f t="shared" si="4"/>
        <v>1</v>
      </c>
      <c r="J86" s="27" t="s">
        <v>31</v>
      </c>
      <c r="K86" s="27" t="s">
        <v>31</v>
      </c>
      <c r="L86" s="27" t="s">
        <v>31</v>
      </c>
      <c r="M86" s="27" t="s">
        <v>31</v>
      </c>
      <c r="N86" s="27" t="s">
        <v>1508</v>
      </c>
    </row>
    <row r="87" spans="1:14">
      <c r="A87" s="37" t="s">
        <v>1509</v>
      </c>
      <c r="B87" s="42">
        <v>1</v>
      </c>
      <c r="C87" s="27" t="s">
        <v>18</v>
      </c>
      <c r="D87" s="27" t="s">
        <v>2</v>
      </c>
      <c r="E87" s="27" t="s">
        <v>29</v>
      </c>
      <c r="F87" s="27" t="s">
        <v>35</v>
      </c>
      <c r="G87" s="27" t="s">
        <v>33</v>
      </c>
      <c r="H87" s="27">
        <v>0</v>
      </c>
      <c r="I87" s="27">
        <f t="shared" si="4"/>
        <v>1</v>
      </c>
      <c r="J87" s="27" t="s">
        <v>31</v>
      </c>
      <c r="K87" s="27" t="s">
        <v>31</v>
      </c>
      <c r="L87" s="27" t="s">
        <v>31</v>
      </c>
      <c r="M87" s="27" t="s">
        <v>31</v>
      </c>
      <c r="N87" s="27" t="s">
        <v>1510</v>
      </c>
    </row>
    <row r="88" spans="1:14" ht="15.6">
      <c r="A88" s="28" t="s">
        <v>5</v>
      </c>
      <c r="B88" s="28" t="s">
        <v>1497</v>
      </c>
      <c r="C88" s="29"/>
      <c r="D88" s="30"/>
      <c r="E88" s="30"/>
      <c r="F88" s="30"/>
      <c r="G88" s="30"/>
      <c r="H88" s="30"/>
      <c r="I88" s="30"/>
      <c r="J88" s="30"/>
      <c r="K88" s="30"/>
      <c r="L88" s="30"/>
      <c r="M88" s="30"/>
      <c r="N88" s="30"/>
    </row>
    <row r="89" spans="1:14">
      <c r="A89" s="27" t="s">
        <v>7</v>
      </c>
      <c r="B89" s="27" t="s">
        <v>1429</v>
      </c>
      <c r="C89" s="27"/>
      <c r="D89" s="27"/>
      <c r="E89" s="27"/>
      <c r="F89" s="27"/>
      <c r="G89" s="27"/>
      <c r="H89" s="27"/>
      <c r="I89" s="27"/>
      <c r="J89" s="27"/>
      <c r="K89" s="27"/>
      <c r="L89" s="27"/>
      <c r="M89" s="27"/>
      <c r="N89" s="27"/>
    </row>
    <row r="90" spans="1:14">
      <c r="A90" s="27" t="s">
        <v>9</v>
      </c>
      <c r="B90" s="27" t="s">
        <v>1511</v>
      </c>
      <c r="C90" s="27"/>
      <c r="D90" s="27"/>
      <c r="E90" s="27"/>
      <c r="F90" s="27"/>
      <c r="G90" s="27"/>
      <c r="H90" s="27"/>
      <c r="I90" s="27"/>
      <c r="J90" s="27"/>
      <c r="K90" s="27"/>
      <c r="L90" s="27"/>
      <c r="M90" s="27"/>
      <c r="N90" s="27"/>
    </row>
    <row r="91" spans="1:14">
      <c r="A91" s="27" t="s">
        <v>11</v>
      </c>
      <c r="B91" s="27" t="s">
        <v>1512</v>
      </c>
      <c r="C91" s="27"/>
      <c r="D91" s="27"/>
      <c r="E91" s="27"/>
      <c r="F91" s="27"/>
      <c r="G91" s="27"/>
      <c r="H91" s="27"/>
      <c r="I91" s="27"/>
      <c r="J91" s="27"/>
      <c r="K91" s="27"/>
      <c r="L91" s="27"/>
      <c r="M91" s="27"/>
      <c r="N91" s="27"/>
    </row>
    <row r="92" spans="1:14">
      <c r="A92" s="27" t="s">
        <v>13</v>
      </c>
      <c r="B92" s="27" t="s">
        <v>35</v>
      </c>
      <c r="C92" s="27"/>
      <c r="D92" s="27"/>
      <c r="E92" s="27"/>
      <c r="F92" s="27"/>
      <c r="G92" s="27"/>
      <c r="H92" s="27"/>
      <c r="I92" s="27"/>
      <c r="J92" s="27"/>
      <c r="K92" s="27"/>
      <c r="L92" s="27"/>
      <c r="M92" s="27"/>
      <c r="N92" s="27"/>
    </row>
    <row r="93" spans="1:14">
      <c r="A93" s="27" t="s">
        <v>15</v>
      </c>
      <c r="B93" s="37">
        <v>1</v>
      </c>
      <c r="C93" s="27"/>
      <c r="D93" s="27"/>
      <c r="E93" s="27"/>
      <c r="F93" s="27"/>
      <c r="G93" s="27"/>
      <c r="H93" s="27"/>
      <c r="I93" s="27"/>
      <c r="J93" s="27"/>
      <c r="K93" s="27"/>
      <c r="L93" s="27"/>
      <c r="M93" s="27"/>
      <c r="N93" s="27"/>
    </row>
    <row r="94" spans="1:14">
      <c r="A94" s="27" t="s">
        <v>16</v>
      </c>
      <c r="B94" s="27" t="s">
        <v>17</v>
      </c>
      <c r="C94" s="27"/>
      <c r="D94" s="27"/>
      <c r="E94" s="27"/>
      <c r="F94" s="27"/>
      <c r="G94" s="27"/>
      <c r="H94" s="27"/>
      <c r="I94" s="27"/>
      <c r="J94" s="27"/>
      <c r="K94" s="27"/>
      <c r="L94" s="27"/>
      <c r="M94" s="27"/>
      <c r="N94" s="27"/>
    </row>
    <row r="95" spans="1:14">
      <c r="A95" s="27" t="s">
        <v>18</v>
      </c>
      <c r="B95" s="27" t="s">
        <v>18</v>
      </c>
      <c r="C95" s="27"/>
      <c r="D95" s="27"/>
      <c r="E95" s="27"/>
      <c r="F95" s="27"/>
      <c r="G95" s="27"/>
      <c r="H95" s="27"/>
      <c r="I95" s="27"/>
      <c r="J95" s="27"/>
      <c r="K95" s="27"/>
      <c r="L95" s="27"/>
      <c r="M95" s="27"/>
      <c r="N95" s="27"/>
    </row>
    <row r="96" spans="1:14" ht="15.6">
      <c r="A96" s="26" t="s">
        <v>19</v>
      </c>
    </row>
    <row r="97" spans="1:14" ht="15.6">
      <c r="A97" s="26" t="s">
        <v>20</v>
      </c>
      <c r="B97" s="26" t="s">
        <v>21</v>
      </c>
      <c r="C97" s="26" t="s">
        <v>18</v>
      </c>
      <c r="D97" s="26" t="s">
        <v>22</v>
      </c>
      <c r="E97" s="26" t="s">
        <v>7</v>
      </c>
      <c r="F97" s="26" t="s">
        <v>13</v>
      </c>
      <c r="G97" s="26" t="s">
        <v>16</v>
      </c>
      <c r="H97" s="26" t="s">
        <v>23</v>
      </c>
      <c r="I97" s="26" t="s">
        <v>24</v>
      </c>
      <c r="J97" s="26" t="s">
        <v>25</v>
      </c>
      <c r="K97" s="26" t="s">
        <v>26</v>
      </c>
      <c r="L97" s="26" t="s">
        <v>27</v>
      </c>
      <c r="M97" s="26" t="s">
        <v>28</v>
      </c>
      <c r="N97" s="26" t="s">
        <v>187</v>
      </c>
    </row>
    <row r="98" spans="1:14">
      <c r="A98" s="27" t="str">
        <f>B88</f>
        <v>terminals</v>
      </c>
      <c r="B98" s="27">
        <f>B93</f>
        <v>1</v>
      </c>
      <c r="C98" s="27" t="str">
        <f>B95</f>
        <v>unit</v>
      </c>
      <c r="D98" s="27" t="s">
        <v>2</v>
      </c>
      <c r="E98" s="27" t="s">
        <v>29</v>
      </c>
      <c r="F98" s="27" t="str">
        <f>B92</f>
        <v>RER</v>
      </c>
      <c r="G98" s="27" t="s">
        <v>30</v>
      </c>
      <c r="H98" s="27">
        <v>0</v>
      </c>
      <c r="I98" s="27">
        <f>B98</f>
        <v>1</v>
      </c>
      <c r="J98" s="27" t="s">
        <v>31</v>
      </c>
      <c r="K98" s="27" t="s">
        <v>31</v>
      </c>
      <c r="L98" s="27" t="s">
        <v>31</v>
      </c>
      <c r="M98" s="27" t="s">
        <v>31</v>
      </c>
      <c r="N98" s="27"/>
    </row>
    <row r="99" spans="1:14">
      <c r="A99" s="37" t="s">
        <v>1476</v>
      </c>
      <c r="B99" s="42">
        <v>44863</v>
      </c>
      <c r="C99" s="27" t="s">
        <v>609</v>
      </c>
      <c r="D99" s="27" t="s">
        <v>43</v>
      </c>
      <c r="E99" s="27" t="s">
        <v>1477</v>
      </c>
      <c r="F99" s="27" t="s">
        <v>29</v>
      </c>
      <c r="G99" s="27" t="s">
        <v>45</v>
      </c>
      <c r="H99" s="27">
        <v>0</v>
      </c>
      <c r="I99" s="27">
        <v>49625</v>
      </c>
      <c r="J99" s="27" t="s">
        <v>31</v>
      </c>
      <c r="K99" s="27" t="s">
        <v>31</v>
      </c>
      <c r="L99" s="27" t="s">
        <v>31</v>
      </c>
      <c r="M99" s="27" t="s">
        <v>31</v>
      </c>
      <c r="N99" s="27" t="s">
        <v>1478</v>
      </c>
    </row>
    <row r="100" spans="1:14">
      <c r="A100" s="37" t="s">
        <v>1479</v>
      </c>
      <c r="B100" s="42">
        <f>B99*100</f>
        <v>4486300</v>
      </c>
      <c r="C100" s="27" t="s">
        <v>1480</v>
      </c>
      <c r="D100" s="27" t="s">
        <v>43</v>
      </c>
      <c r="E100" s="27" t="s">
        <v>1477</v>
      </c>
      <c r="F100" s="27" t="s">
        <v>29</v>
      </c>
      <c r="G100" s="27" t="s">
        <v>45</v>
      </c>
      <c r="H100" s="27">
        <v>0</v>
      </c>
      <c r="I100" s="27">
        <v>4962500</v>
      </c>
      <c r="J100" s="27" t="s">
        <v>31</v>
      </c>
      <c r="K100" s="27" t="s">
        <v>31</v>
      </c>
      <c r="L100" s="27" t="s">
        <v>31</v>
      </c>
      <c r="M100" s="27" t="s">
        <v>31</v>
      </c>
      <c r="N100" s="27" t="s">
        <v>1481</v>
      </c>
    </row>
    <row r="101" spans="1:14" s="27" customFormat="1" ht="12.95">
      <c r="A101" s="37" t="s">
        <v>1482</v>
      </c>
      <c r="B101" s="42">
        <f>B99*0.7</f>
        <v>31404.1</v>
      </c>
      <c r="C101" s="27" t="s">
        <v>609</v>
      </c>
      <c r="D101" s="27" t="s">
        <v>40</v>
      </c>
      <c r="E101" s="27" t="s">
        <v>29</v>
      </c>
      <c r="F101" s="27" t="s">
        <v>59</v>
      </c>
      <c r="G101" s="27" t="s">
        <v>33</v>
      </c>
      <c r="H101" s="27">
        <v>0</v>
      </c>
      <c r="I101" s="27">
        <f t="shared" ref="I101:I102" si="5">B101</f>
        <v>31404.1</v>
      </c>
      <c r="J101" s="27" t="s">
        <v>31</v>
      </c>
      <c r="K101" s="27" t="s">
        <v>31</v>
      </c>
      <c r="L101" s="27" t="s">
        <v>31</v>
      </c>
      <c r="M101" s="27" t="s">
        <v>31</v>
      </c>
      <c r="N101" s="27" t="s">
        <v>1483</v>
      </c>
    </row>
    <row r="102" spans="1:14" s="27" customFormat="1" ht="12.95">
      <c r="A102" s="46" t="s">
        <v>1484</v>
      </c>
      <c r="B102" s="42">
        <f>B99*0.3*5*2.5*P7</f>
        <v>504759.22592259228</v>
      </c>
      <c r="C102" s="27" t="s">
        <v>42</v>
      </c>
      <c r="D102" s="27" t="s">
        <v>40</v>
      </c>
      <c r="E102" s="27" t="s">
        <v>29</v>
      </c>
      <c r="F102" s="27" t="s">
        <v>59</v>
      </c>
      <c r="G102" s="27" t="s">
        <v>33</v>
      </c>
      <c r="H102" s="27">
        <v>0</v>
      </c>
      <c r="I102" s="27">
        <f t="shared" si="5"/>
        <v>504759.22592259228</v>
      </c>
      <c r="J102" s="27" t="s">
        <v>31</v>
      </c>
      <c r="K102" s="27" t="s">
        <v>31</v>
      </c>
      <c r="L102" s="27" t="s">
        <v>31</v>
      </c>
      <c r="M102" s="27" t="s">
        <v>31</v>
      </c>
      <c r="N102" s="27" t="s">
        <v>1485</v>
      </c>
    </row>
    <row r="103" spans="1:14" ht="15.6">
      <c r="A103" s="28" t="s">
        <v>5</v>
      </c>
      <c r="B103" s="28" t="s">
        <v>1499</v>
      </c>
      <c r="C103" s="29"/>
      <c r="D103" s="30"/>
      <c r="E103" s="30"/>
      <c r="F103" s="30"/>
      <c r="G103" s="30"/>
      <c r="H103" s="30"/>
      <c r="I103" s="30"/>
      <c r="J103" s="30"/>
      <c r="K103" s="30"/>
      <c r="L103" s="30"/>
      <c r="M103" s="30"/>
      <c r="N103" s="30"/>
    </row>
    <row r="104" spans="1:14">
      <c r="A104" s="27" t="s">
        <v>7</v>
      </c>
      <c r="B104" s="27" t="s">
        <v>1429</v>
      </c>
      <c r="C104" s="27"/>
      <c r="D104" s="27"/>
      <c r="E104" s="27"/>
      <c r="F104" s="27"/>
      <c r="G104" s="27"/>
      <c r="H104" s="27"/>
      <c r="I104" s="27"/>
      <c r="J104" s="27"/>
      <c r="K104" s="27"/>
      <c r="L104" s="27"/>
      <c r="M104" s="27"/>
      <c r="N104" s="27"/>
    </row>
    <row r="105" spans="1:14">
      <c r="A105" s="27" t="s">
        <v>9</v>
      </c>
      <c r="B105" s="27" t="s">
        <v>1513</v>
      </c>
      <c r="C105" s="27"/>
      <c r="D105" s="27"/>
      <c r="E105" s="27"/>
      <c r="F105" s="27"/>
      <c r="G105" s="27"/>
      <c r="H105" s="27"/>
      <c r="I105" s="27"/>
      <c r="J105" s="27"/>
      <c r="K105" s="27"/>
      <c r="L105" s="27"/>
      <c r="M105" s="27"/>
      <c r="N105" s="27"/>
    </row>
    <row r="106" spans="1:14">
      <c r="A106" s="27" t="s">
        <v>11</v>
      </c>
      <c r="B106" s="27" t="s">
        <v>1514</v>
      </c>
      <c r="C106" s="27"/>
      <c r="D106" s="27"/>
      <c r="E106" s="27"/>
      <c r="F106" s="27"/>
      <c r="G106" s="27"/>
      <c r="H106" s="27"/>
      <c r="I106" s="27"/>
      <c r="J106" s="27"/>
      <c r="K106" s="27"/>
      <c r="L106" s="27"/>
      <c r="M106" s="27"/>
      <c r="N106" s="27"/>
    </row>
    <row r="107" spans="1:14">
      <c r="A107" s="27" t="s">
        <v>13</v>
      </c>
      <c r="B107" s="27" t="s">
        <v>35</v>
      </c>
      <c r="C107" s="27"/>
      <c r="D107" s="27"/>
      <c r="E107" s="27"/>
      <c r="F107" s="27"/>
      <c r="G107" s="27"/>
      <c r="H107" s="27"/>
      <c r="I107" s="27"/>
      <c r="J107" s="27"/>
      <c r="K107" s="27"/>
      <c r="L107" s="27"/>
      <c r="M107" s="27"/>
      <c r="N107" s="27"/>
    </row>
    <row r="108" spans="1:14">
      <c r="A108" s="27" t="s">
        <v>15</v>
      </c>
      <c r="B108" s="37">
        <v>1</v>
      </c>
      <c r="C108" s="27"/>
      <c r="D108" s="27"/>
      <c r="E108" s="27"/>
      <c r="F108" s="27"/>
      <c r="G108" s="27"/>
      <c r="H108" s="27"/>
      <c r="I108" s="27"/>
      <c r="J108" s="27"/>
      <c r="K108" s="27"/>
      <c r="L108" s="27"/>
      <c r="M108" s="27"/>
      <c r="N108" s="27"/>
    </row>
    <row r="109" spans="1:14">
      <c r="A109" s="27" t="s">
        <v>16</v>
      </c>
      <c r="B109" s="27" t="s">
        <v>17</v>
      </c>
      <c r="C109" s="27"/>
      <c r="D109" s="27"/>
      <c r="E109" s="27"/>
      <c r="F109" s="27"/>
      <c r="G109" s="27"/>
      <c r="H109" s="27"/>
      <c r="I109" s="27"/>
      <c r="J109" s="27"/>
      <c r="K109" s="27"/>
      <c r="L109" s="27"/>
      <c r="M109" s="27"/>
      <c r="N109" s="27"/>
    </row>
    <row r="110" spans="1:14">
      <c r="A110" s="27" t="s">
        <v>18</v>
      </c>
      <c r="B110" s="27" t="s">
        <v>18</v>
      </c>
      <c r="C110" s="27"/>
      <c r="D110" s="27"/>
      <c r="E110" s="27"/>
      <c r="F110" s="27"/>
      <c r="G110" s="27"/>
      <c r="H110" s="27"/>
      <c r="I110" s="27"/>
      <c r="J110" s="27"/>
      <c r="K110" s="27"/>
      <c r="L110" s="27"/>
      <c r="M110" s="27"/>
      <c r="N110" s="27"/>
    </row>
    <row r="111" spans="1:14" ht="15.6">
      <c r="A111" s="26" t="s">
        <v>19</v>
      </c>
    </row>
    <row r="112" spans="1:14" ht="15.6">
      <c r="A112" s="26" t="s">
        <v>20</v>
      </c>
      <c r="B112" s="26" t="s">
        <v>21</v>
      </c>
      <c r="C112" s="26" t="s">
        <v>18</v>
      </c>
      <c r="D112" s="26" t="s">
        <v>22</v>
      </c>
      <c r="E112" s="26" t="s">
        <v>7</v>
      </c>
      <c r="F112" s="26" t="s">
        <v>13</v>
      </c>
      <c r="G112" s="26" t="s">
        <v>16</v>
      </c>
      <c r="H112" s="26" t="s">
        <v>23</v>
      </c>
      <c r="I112" s="26" t="s">
        <v>24</v>
      </c>
      <c r="J112" s="26" t="s">
        <v>25</v>
      </c>
      <c r="K112" s="26" t="s">
        <v>26</v>
      </c>
      <c r="L112" s="26" t="s">
        <v>27</v>
      </c>
      <c r="M112" s="26" t="s">
        <v>28</v>
      </c>
      <c r="N112" s="26" t="s">
        <v>187</v>
      </c>
    </row>
    <row r="113" spans="1:14">
      <c r="A113" s="27" t="str">
        <f>B103</f>
        <v>hangars</v>
      </c>
      <c r="B113" s="27">
        <f>B108</f>
        <v>1</v>
      </c>
      <c r="C113" s="27" t="str">
        <f>B110</f>
        <v>unit</v>
      </c>
      <c r="D113" s="27" t="s">
        <v>2</v>
      </c>
      <c r="E113" s="27" t="s">
        <v>29</v>
      </c>
      <c r="F113" s="27" t="str">
        <f>B107</f>
        <v>RER</v>
      </c>
      <c r="G113" s="27" t="s">
        <v>30</v>
      </c>
      <c r="H113" s="27">
        <v>0</v>
      </c>
      <c r="I113" s="27">
        <f>B113</f>
        <v>1</v>
      </c>
      <c r="J113" s="27" t="s">
        <v>31</v>
      </c>
      <c r="K113" s="27" t="s">
        <v>31</v>
      </c>
      <c r="L113" s="27" t="s">
        <v>31</v>
      </c>
      <c r="M113" s="27" t="s">
        <v>31</v>
      </c>
      <c r="N113" s="27"/>
    </row>
    <row r="114" spans="1:14">
      <c r="A114" s="37" t="s">
        <v>1476</v>
      </c>
      <c r="B114" s="42">
        <v>9369</v>
      </c>
      <c r="C114" s="27" t="s">
        <v>609</v>
      </c>
      <c r="D114" s="27" t="s">
        <v>43</v>
      </c>
      <c r="E114" s="27" t="s">
        <v>1477</v>
      </c>
      <c r="F114" s="27" t="s">
        <v>29</v>
      </c>
      <c r="G114" s="27" t="s">
        <v>45</v>
      </c>
      <c r="H114" s="27">
        <v>0</v>
      </c>
      <c r="I114" s="27">
        <v>49625</v>
      </c>
      <c r="J114" s="27" t="s">
        <v>31</v>
      </c>
      <c r="K114" s="27" t="s">
        <v>31</v>
      </c>
      <c r="L114" s="27" t="s">
        <v>31</v>
      </c>
      <c r="M114" s="27" t="s">
        <v>31</v>
      </c>
      <c r="N114" s="27" t="s">
        <v>1478</v>
      </c>
    </row>
    <row r="115" spans="1:14">
      <c r="A115" s="37" t="s">
        <v>1479</v>
      </c>
      <c r="B115" s="42">
        <f>B114*100</f>
        <v>936900</v>
      </c>
      <c r="C115" s="27" t="s">
        <v>1480</v>
      </c>
      <c r="D115" s="27" t="s">
        <v>43</v>
      </c>
      <c r="E115" s="27" t="s">
        <v>1477</v>
      </c>
      <c r="F115" s="27" t="s">
        <v>29</v>
      </c>
      <c r="G115" s="27" t="s">
        <v>45</v>
      </c>
      <c r="H115" s="27">
        <v>0</v>
      </c>
      <c r="I115" s="27">
        <v>4962500</v>
      </c>
      <c r="J115" s="27" t="s">
        <v>31</v>
      </c>
      <c r="K115" s="27" t="s">
        <v>31</v>
      </c>
      <c r="L115" s="27" t="s">
        <v>31</v>
      </c>
      <c r="M115" s="27" t="s">
        <v>31</v>
      </c>
      <c r="N115" s="27" t="s">
        <v>1481</v>
      </c>
    </row>
    <row r="116" spans="1:14" s="27" customFormat="1" ht="12.95">
      <c r="A116" s="37" t="s">
        <v>1482</v>
      </c>
      <c r="B116" s="42">
        <f>B114*0.7</f>
        <v>6558.2999999999993</v>
      </c>
      <c r="C116" s="27" t="s">
        <v>609</v>
      </c>
      <c r="D116" s="27" t="s">
        <v>40</v>
      </c>
      <c r="E116" s="27" t="s">
        <v>29</v>
      </c>
      <c r="F116" s="27" t="s">
        <v>59</v>
      </c>
      <c r="G116" s="27" t="s">
        <v>33</v>
      </c>
      <c r="H116" s="27">
        <v>0</v>
      </c>
      <c r="I116" s="27">
        <f t="shared" ref="I116:I117" si="6">B116</f>
        <v>6558.2999999999993</v>
      </c>
      <c r="J116" s="27" t="s">
        <v>31</v>
      </c>
      <c r="K116" s="27" t="s">
        <v>31</v>
      </c>
      <c r="L116" s="27" t="s">
        <v>31</v>
      </c>
      <c r="M116" s="27" t="s">
        <v>31</v>
      </c>
      <c r="N116" s="27" t="s">
        <v>1515</v>
      </c>
    </row>
    <row r="117" spans="1:14" s="27" customFormat="1" ht="12.95">
      <c r="A117" s="46" t="s">
        <v>1484</v>
      </c>
      <c r="B117" s="42">
        <f>B114*0.3*5*2.5*P7</f>
        <v>105411.79117911791</v>
      </c>
      <c r="C117" s="27" t="s">
        <v>42</v>
      </c>
      <c r="D117" s="27" t="s">
        <v>40</v>
      </c>
      <c r="E117" s="27" t="s">
        <v>29</v>
      </c>
      <c r="F117" s="27" t="s">
        <v>59</v>
      </c>
      <c r="G117" s="27" t="s">
        <v>33</v>
      </c>
      <c r="H117" s="27">
        <v>0</v>
      </c>
      <c r="I117" s="27">
        <f t="shared" si="6"/>
        <v>105411.79117911791</v>
      </c>
      <c r="J117" s="27" t="s">
        <v>31</v>
      </c>
      <c r="K117" s="27" t="s">
        <v>31</v>
      </c>
      <c r="L117" s="27" t="s">
        <v>31</v>
      </c>
      <c r="M117" s="27" t="s">
        <v>31</v>
      </c>
      <c r="N117" s="27" t="s">
        <v>1485</v>
      </c>
    </row>
    <row r="118" spans="1:14" ht="15.6">
      <c r="A118" s="28" t="s">
        <v>5</v>
      </c>
      <c r="B118" s="28" t="s">
        <v>1501</v>
      </c>
      <c r="C118" s="29"/>
      <c r="D118" s="30"/>
      <c r="E118" s="30"/>
      <c r="F118" s="30"/>
      <c r="G118" s="30"/>
      <c r="H118" s="30"/>
      <c r="I118" s="30"/>
      <c r="J118" s="30"/>
      <c r="K118" s="30"/>
      <c r="L118" s="30"/>
      <c r="M118" s="30"/>
      <c r="N118" s="30"/>
    </row>
    <row r="119" spans="1:14">
      <c r="A119" s="27" t="s">
        <v>7</v>
      </c>
      <c r="B119" s="27" t="s">
        <v>1429</v>
      </c>
      <c r="C119" s="27"/>
      <c r="D119" s="27"/>
      <c r="E119" s="27"/>
      <c r="F119" s="27"/>
      <c r="G119" s="27"/>
      <c r="H119" s="27"/>
      <c r="I119" s="27"/>
      <c r="J119" s="27"/>
      <c r="K119" s="27"/>
      <c r="L119" s="27"/>
      <c r="M119" s="27"/>
      <c r="N119" s="27"/>
    </row>
    <row r="120" spans="1:14">
      <c r="A120" s="27" t="s">
        <v>9</v>
      </c>
      <c r="B120" s="27" t="s">
        <v>1516</v>
      </c>
      <c r="C120" s="27"/>
      <c r="D120" s="27"/>
      <c r="E120" s="27"/>
      <c r="F120" s="27"/>
      <c r="G120" s="27"/>
      <c r="H120" s="27"/>
      <c r="I120" s="27"/>
      <c r="J120" s="27"/>
      <c r="K120" s="27"/>
      <c r="L120" s="27"/>
      <c r="M120" s="27"/>
      <c r="N120" s="27"/>
    </row>
    <row r="121" spans="1:14">
      <c r="A121" s="27" t="s">
        <v>11</v>
      </c>
      <c r="B121" s="27" t="s">
        <v>1517</v>
      </c>
      <c r="C121" s="27"/>
      <c r="D121" s="27"/>
      <c r="E121" s="27"/>
      <c r="F121" s="27"/>
      <c r="G121" s="27"/>
      <c r="H121" s="27"/>
      <c r="I121" s="27"/>
      <c r="J121" s="27"/>
      <c r="K121" s="27"/>
      <c r="L121" s="27"/>
      <c r="M121" s="27"/>
      <c r="N121" s="27"/>
    </row>
    <row r="122" spans="1:14">
      <c r="A122" s="27" t="s">
        <v>13</v>
      </c>
      <c r="B122" s="27" t="s">
        <v>35</v>
      </c>
      <c r="C122" s="27"/>
      <c r="D122" s="27"/>
      <c r="E122" s="27"/>
      <c r="F122" s="27"/>
      <c r="G122" s="27"/>
      <c r="H122" s="27"/>
      <c r="I122" s="27"/>
      <c r="J122" s="27"/>
      <c r="K122" s="27"/>
      <c r="L122" s="27"/>
      <c r="M122" s="27"/>
      <c r="N122" s="27"/>
    </row>
    <row r="123" spans="1:14">
      <c r="A123" s="27" t="s">
        <v>15</v>
      </c>
      <c r="B123" s="37">
        <v>1</v>
      </c>
      <c r="C123" s="27"/>
      <c r="D123" s="27"/>
      <c r="E123" s="27"/>
      <c r="F123" s="27"/>
      <c r="G123" s="27"/>
      <c r="H123" s="27"/>
      <c r="I123" s="27"/>
      <c r="J123" s="27"/>
      <c r="K123" s="27"/>
      <c r="L123" s="27"/>
      <c r="M123" s="27"/>
      <c r="N123" s="27"/>
    </row>
    <row r="124" spans="1:14">
      <c r="A124" s="27" t="s">
        <v>16</v>
      </c>
      <c r="B124" s="27" t="s">
        <v>17</v>
      </c>
      <c r="C124" s="27"/>
      <c r="D124" s="27"/>
      <c r="E124" s="27"/>
      <c r="F124" s="27"/>
      <c r="G124" s="27"/>
      <c r="H124" s="27"/>
      <c r="I124" s="27"/>
      <c r="J124" s="27"/>
      <c r="K124" s="27"/>
      <c r="L124" s="27"/>
      <c r="M124" s="27"/>
      <c r="N124" s="27"/>
    </row>
    <row r="125" spans="1:14">
      <c r="A125" s="27" t="s">
        <v>18</v>
      </c>
      <c r="B125" s="27" t="s">
        <v>18</v>
      </c>
      <c r="C125" s="27"/>
      <c r="D125" s="27"/>
      <c r="E125" s="27"/>
      <c r="F125" s="27"/>
      <c r="G125" s="27"/>
      <c r="H125" s="27"/>
      <c r="I125" s="27"/>
      <c r="J125" s="27"/>
      <c r="K125" s="27"/>
      <c r="L125" s="27"/>
      <c r="M125" s="27"/>
      <c r="N125" s="27"/>
    </row>
    <row r="126" spans="1:14" ht="15.6">
      <c r="A126" s="26" t="s">
        <v>19</v>
      </c>
    </row>
    <row r="127" spans="1:14" ht="15.6">
      <c r="A127" s="26" t="s">
        <v>20</v>
      </c>
      <c r="B127" s="26" t="s">
        <v>21</v>
      </c>
      <c r="C127" s="26" t="s">
        <v>18</v>
      </c>
      <c r="D127" s="26" t="s">
        <v>22</v>
      </c>
      <c r="E127" s="26" t="s">
        <v>7</v>
      </c>
      <c r="F127" s="26" t="s">
        <v>13</v>
      </c>
      <c r="G127" s="26" t="s">
        <v>16</v>
      </c>
      <c r="H127" s="26" t="s">
        <v>23</v>
      </c>
      <c r="I127" s="26" t="s">
        <v>24</v>
      </c>
      <c r="J127" s="26" t="s">
        <v>25</v>
      </c>
      <c r="K127" s="26" t="s">
        <v>26</v>
      </c>
      <c r="L127" s="26" t="s">
        <v>27</v>
      </c>
      <c r="M127" s="26" t="s">
        <v>28</v>
      </c>
      <c r="N127" s="26" t="s">
        <v>187</v>
      </c>
    </row>
    <row r="128" spans="1:14">
      <c r="A128" s="27" t="str">
        <f>B118</f>
        <v>helipad</v>
      </c>
      <c r="B128" s="27">
        <f>B123</f>
        <v>1</v>
      </c>
      <c r="C128" s="27" t="str">
        <f>B125</f>
        <v>unit</v>
      </c>
      <c r="D128" s="27" t="s">
        <v>2</v>
      </c>
      <c r="E128" s="27" t="s">
        <v>29</v>
      </c>
      <c r="F128" s="27" t="str">
        <f>B122</f>
        <v>RER</v>
      </c>
      <c r="G128" s="27" t="s">
        <v>30</v>
      </c>
      <c r="H128" s="27">
        <v>0</v>
      </c>
      <c r="I128" s="27">
        <f>B128</f>
        <v>1</v>
      </c>
      <c r="J128" s="27" t="s">
        <v>31</v>
      </c>
      <c r="K128" s="27" t="s">
        <v>31</v>
      </c>
      <c r="L128" s="27" t="s">
        <v>31</v>
      </c>
      <c r="M128" s="27" t="s">
        <v>31</v>
      </c>
      <c r="N128" s="27"/>
    </row>
    <row r="129" spans="1:14">
      <c r="A129" s="37" t="s">
        <v>1476</v>
      </c>
      <c r="B129" s="42">
        <v>100</v>
      </c>
      <c r="C129" s="27" t="s">
        <v>609</v>
      </c>
      <c r="D129" s="27" t="s">
        <v>43</v>
      </c>
      <c r="E129" s="27" t="s">
        <v>1477</v>
      </c>
      <c r="F129" s="27" t="s">
        <v>29</v>
      </c>
      <c r="G129" s="27" t="s">
        <v>45</v>
      </c>
      <c r="H129" s="27">
        <v>0</v>
      </c>
      <c r="I129" s="27">
        <v>49625</v>
      </c>
      <c r="J129" s="27" t="s">
        <v>31</v>
      </c>
      <c r="K129" s="27" t="s">
        <v>31</v>
      </c>
      <c r="L129" s="27" t="s">
        <v>31</v>
      </c>
      <c r="M129" s="27" t="s">
        <v>31</v>
      </c>
      <c r="N129" s="27" t="s">
        <v>1478</v>
      </c>
    </row>
    <row r="130" spans="1:14">
      <c r="A130" s="37" t="s">
        <v>1479</v>
      </c>
      <c r="B130" s="42">
        <f>B129*100</f>
        <v>10000</v>
      </c>
      <c r="C130" s="27" t="s">
        <v>1480</v>
      </c>
      <c r="D130" s="27" t="s">
        <v>43</v>
      </c>
      <c r="E130" s="27" t="s">
        <v>1477</v>
      </c>
      <c r="F130" s="27" t="s">
        <v>29</v>
      </c>
      <c r="G130" s="27" t="s">
        <v>45</v>
      </c>
      <c r="H130" s="27">
        <v>0</v>
      </c>
      <c r="I130" s="27">
        <v>4962500</v>
      </c>
      <c r="J130" s="27" t="s">
        <v>31</v>
      </c>
      <c r="K130" s="27" t="s">
        <v>31</v>
      </c>
      <c r="L130" s="27" t="s">
        <v>31</v>
      </c>
      <c r="M130" s="27" t="s">
        <v>31</v>
      </c>
      <c r="N130" s="27" t="s">
        <v>1481</v>
      </c>
    </row>
    <row r="131" spans="1:14" s="27" customFormat="1" ht="12.95">
      <c r="A131" s="47" t="s">
        <v>1490</v>
      </c>
      <c r="B131" s="42">
        <f>B129*0.5*P7</f>
        <v>150.01500150015002</v>
      </c>
      <c r="C131" s="27" t="s">
        <v>42</v>
      </c>
      <c r="D131" s="27" t="s">
        <v>40</v>
      </c>
      <c r="E131" s="27" t="s">
        <v>29</v>
      </c>
      <c r="F131" s="27" t="s">
        <v>82</v>
      </c>
      <c r="G131" s="27" t="s">
        <v>33</v>
      </c>
      <c r="H131" s="27">
        <v>0</v>
      </c>
      <c r="I131" s="27">
        <f t="shared" ref="I131" si="7">B131</f>
        <v>150.01500150015002</v>
      </c>
      <c r="J131" s="27" t="s">
        <v>31</v>
      </c>
      <c r="K131" s="27" t="s">
        <v>31</v>
      </c>
      <c r="L131" s="27" t="s">
        <v>31</v>
      </c>
      <c r="M131" s="27" t="s">
        <v>31</v>
      </c>
      <c r="N131" s="27" t="s">
        <v>1518</v>
      </c>
    </row>
    <row r="132" spans="1:14" ht="15.6">
      <c r="A132" s="28" t="s">
        <v>5</v>
      </c>
      <c r="B132" s="28" t="s">
        <v>1503</v>
      </c>
      <c r="C132" s="29"/>
      <c r="D132" s="30"/>
      <c r="E132" s="30"/>
      <c r="F132" s="30"/>
      <c r="G132" s="30"/>
      <c r="H132" s="30"/>
      <c r="I132" s="30"/>
      <c r="J132" s="30"/>
      <c r="K132" s="30"/>
      <c r="L132" s="30"/>
      <c r="M132" s="30"/>
      <c r="N132" s="30"/>
    </row>
    <row r="133" spans="1:14">
      <c r="A133" s="27" t="s">
        <v>7</v>
      </c>
      <c r="B133" s="27" t="s">
        <v>1429</v>
      </c>
      <c r="C133" s="27"/>
      <c r="D133" s="27"/>
      <c r="E133" s="27"/>
      <c r="F133" s="27"/>
      <c r="G133" s="27"/>
      <c r="H133" s="27"/>
      <c r="I133" s="27"/>
      <c r="J133" s="27"/>
      <c r="K133" s="27"/>
      <c r="L133" s="27"/>
      <c r="M133" s="27"/>
      <c r="N133" s="27"/>
    </row>
    <row r="134" spans="1:14">
      <c r="A134" s="27" t="s">
        <v>9</v>
      </c>
      <c r="B134" s="27" t="s">
        <v>1519</v>
      </c>
      <c r="C134" s="27"/>
      <c r="D134" s="27"/>
      <c r="E134" s="27"/>
      <c r="F134" s="27"/>
      <c r="G134" s="27"/>
      <c r="H134" s="27"/>
      <c r="I134" s="27"/>
      <c r="J134" s="27"/>
      <c r="K134" s="27"/>
      <c r="L134" s="27"/>
      <c r="M134" s="27"/>
      <c r="N134" s="27"/>
    </row>
    <row r="135" spans="1:14">
      <c r="A135" s="27" t="s">
        <v>11</v>
      </c>
      <c r="B135" s="27" t="s">
        <v>1520</v>
      </c>
      <c r="C135" s="27"/>
      <c r="D135" s="27"/>
      <c r="E135" s="27"/>
      <c r="F135" s="27"/>
      <c r="G135" s="27"/>
      <c r="H135" s="27"/>
      <c r="I135" s="27"/>
      <c r="J135" s="27"/>
      <c r="K135" s="27"/>
      <c r="L135" s="27"/>
      <c r="M135" s="27"/>
      <c r="N135" s="27"/>
    </row>
    <row r="136" spans="1:14">
      <c r="A136" s="27" t="s">
        <v>13</v>
      </c>
      <c r="B136" s="27" t="s">
        <v>35</v>
      </c>
      <c r="C136" s="27"/>
      <c r="D136" s="27"/>
      <c r="E136" s="27"/>
      <c r="F136" s="27"/>
      <c r="G136" s="27"/>
      <c r="H136" s="27"/>
      <c r="I136" s="27"/>
      <c r="J136" s="27"/>
      <c r="K136" s="27"/>
      <c r="L136" s="27"/>
      <c r="M136" s="27"/>
      <c r="N136" s="27"/>
    </row>
    <row r="137" spans="1:14">
      <c r="A137" s="27" t="s">
        <v>15</v>
      </c>
      <c r="B137" s="37">
        <v>1</v>
      </c>
      <c r="C137" s="27"/>
      <c r="D137" s="27"/>
      <c r="E137" s="27"/>
      <c r="F137" s="27"/>
      <c r="G137" s="27"/>
      <c r="H137" s="27"/>
      <c r="I137" s="27"/>
      <c r="J137" s="27"/>
      <c r="K137" s="27"/>
      <c r="L137" s="27"/>
      <c r="M137" s="27"/>
      <c r="N137" s="27"/>
    </row>
    <row r="138" spans="1:14">
      <c r="A138" s="27" t="s">
        <v>16</v>
      </c>
      <c r="B138" s="27" t="s">
        <v>17</v>
      </c>
      <c r="C138" s="27"/>
      <c r="D138" s="27"/>
      <c r="E138" s="27"/>
      <c r="F138" s="27"/>
      <c r="G138" s="27"/>
      <c r="H138" s="27"/>
      <c r="I138" s="27"/>
      <c r="J138" s="27"/>
      <c r="K138" s="27"/>
      <c r="L138" s="27"/>
      <c r="M138" s="27"/>
      <c r="N138" s="27"/>
    </row>
    <row r="139" spans="1:14">
      <c r="A139" s="27" t="s">
        <v>18</v>
      </c>
      <c r="B139" s="27" t="s">
        <v>18</v>
      </c>
      <c r="C139" s="27"/>
      <c r="D139" s="27"/>
      <c r="E139" s="27"/>
      <c r="F139" s="27"/>
      <c r="G139" s="27"/>
      <c r="H139" s="27"/>
      <c r="I139" s="27"/>
      <c r="J139" s="27"/>
      <c r="K139" s="27"/>
      <c r="L139" s="27"/>
      <c r="M139" s="27"/>
      <c r="N139" s="27"/>
    </row>
    <row r="140" spans="1:14" ht="15.6">
      <c r="A140" s="26" t="s">
        <v>19</v>
      </c>
    </row>
    <row r="141" spans="1:14" ht="15.6">
      <c r="A141" s="26" t="s">
        <v>20</v>
      </c>
      <c r="B141" s="26" t="s">
        <v>21</v>
      </c>
      <c r="C141" s="26" t="s">
        <v>18</v>
      </c>
      <c r="D141" s="26" t="s">
        <v>22</v>
      </c>
      <c r="E141" s="26" t="s">
        <v>7</v>
      </c>
      <c r="F141" s="26" t="s">
        <v>13</v>
      </c>
      <c r="G141" s="26" t="s">
        <v>16</v>
      </c>
      <c r="H141" s="26" t="s">
        <v>23</v>
      </c>
      <c r="I141" s="26" t="s">
        <v>24</v>
      </c>
      <c r="J141" s="26" t="s">
        <v>25</v>
      </c>
      <c r="K141" s="26" t="s">
        <v>26</v>
      </c>
      <c r="L141" s="26" t="s">
        <v>27</v>
      </c>
      <c r="M141" s="26" t="s">
        <v>28</v>
      </c>
      <c r="N141" s="26" t="s">
        <v>187</v>
      </c>
    </row>
    <row r="142" spans="1:14">
      <c r="A142" s="27" t="str">
        <f>B132</f>
        <v>apron</v>
      </c>
      <c r="B142" s="27">
        <f>B137</f>
        <v>1</v>
      </c>
      <c r="C142" s="27" t="str">
        <f>B139</f>
        <v>unit</v>
      </c>
      <c r="D142" s="27" t="s">
        <v>2</v>
      </c>
      <c r="E142" s="27" t="s">
        <v>29</v>
      </c>
      <c r="F142" s="27" t="str">
        <f>B136</f>
        <v>RER</v>
      </c>
      <c r="G142" s="27" t="s">
        <v>30</v>
      </c>
      <c r="H142" s="27">
        <v>0</v>
      </c>
      <c r="I142" s="27">
        <f>B142</f>
        <v>1</v>
      </c>
      <c r="J142" s="27" t="s">
        <v>31</v>
      </c>
      <c r="K142" s="27" t="s">
        <v>31</v>
      </c>
      <c r="L142" s="27" t="s">
        <v>31</v>
      </c>
      <c r="M142" s="27" t="s">
        <v>31</v>
      </c>
      <c r="N142" s="27"/>
    </row>
    <row r="143" spans="1:14" s="27" customFormat="1" ht="12.95">
      <c r="A143" s="37" t="s">
        <v>1488</v>
      </c>
      <c r="B143" s="27">
        <v>98000</v>
      </c>
      <c r="C143" s="27" t="s">
        <v>609</v>
      </c>
      <c r="D143" s="27" t="s">
        <v>43</v>
      </c>
      <c r="E143" s="27" t="s">
        <v>1477</v>
      </c>
      <c r="F143" s="27" t="s">
        <v>29</v>
      </c>
      <c r="G143" s="27" t="s">
        <v>45</v>
      </c>
      <c r="H143" s="27">
        <v>0</v>
      </c>
      <c r="I143" s="27">
        <f>B143</f>
        <v>98000</v>
      </c>
      <c r="J143" s="27" t="s">
        <v>31</v>
      </c>
      <c r="K143" s="27" t="s">
        <v>31</v>
      </c>
      <c r="L143" s="27" t="s">
        <v>31</v>
      </c>
      <c r="M143" s="27" t="s">
        <v>31</v>
      </c>
      <c r="N143" s="27" t="s">
        <v>1478</v>
      </c>
    </row>
    <row r="144" spans="1:14" s="27" customFormat="1" ht="12.95">
      <c r="A144" s="27" t="s">
        <v>1489</v>
      </c>
      <c r="B144" s="27">
        <f>100*B143</f>
        <v>9800000</v>
      </c>
      <c r="C144" s="27" t="s">
        <v>1480</v>
      </c>
      <c r="D144" s="27" t="s">
        <v>43</v>
      </c>
      <c r="E144" s="27" t="s">
        <v>1477</v>
      </c>
      <c r="F144" s="27" t="s">
        <v>29</v>
      </c>
      <c r="G144" s="27" t="s">
        <v>45</v>
      </c>
      <c r="H144" s="27">
        <v>0</v>
      </c>
      <c r="I144" s="27">
        <f>B144</f>
        <v>9800000</v>
      </c>
      <c r="J144" s="27" t="s">
        <v>31</v>
      </c>
      <c r="K144" s="27" t="s">
        <v>31</v>
      </c>
      <c r="L144" s="27" t="s">
        <v>31</v>
      </c>
      <c r="M144" s="27" t="s">
        <v>31</v>
      </c>
      <c r="N144" s="27" t="s">
        <v>1481</v>
      </c>
    </row>
    <row r="145" spans="1:14" s="27" customFormat="1" ht="12.95">
      <c r="A145" s="47" t="s">
        <v>1521</v>
      </c>
      <c r="B145" s="42">
        <f>B143*0.22*P7</f>
        <v>64686.468646864683</v>
      </c>
      <c r="C145" s="27" t="s">
        <v>42</v>
      </c>
      <c r="D145" s="27" t="s">
        <v>40</v>
      </c>
      <c r="E145" s="27" t="s">
        <v>29</v>
      </c>
      <c r="F145" s="27" t="s">
        <v>59</v>
      </c>
      <c r="G145" s="27" t="s">
        <v>33</v>
      </c>
      <c r="H145" s="27">
        <v>0</v>
      </c>
      <c r="I145" s="27">
        <f t="shared" ref="I145:I150" si="8">B145</f>
        <v>64686.468646864683</v>
      </c>
      <c r="J145" s="27" t="s">
        <v>31</v>
      </c>
      <c r="K145" s="27" t="s">
        <v>31</v>
      </c>
      <c r="L145" s="27" t="s">
        <v>31</v>
      </c>
      <c r="M145" s="27" t="s">
        <v>31</v>
      </c>
      <c r="N145" s="27" t="s">
        <v>1522</v>
      </c>
    </row>
    <row r="146" spans="1:14" s="27" customFormat="1" ht="12.95">
      <c r="A146" s="46" t="s">
        <v>86</v>
      </c>
      <c r="B146" s="27">
        <f>1.8*B143*P7</f>
        <v>529252.92529252928</v>
      </c>
      <c r="C146" s="27" t="s">
        <v>37</v>
      </c>
      <c r="D146" s="27" t="s">
        <v>40</v>
      </c>
      <c r="E146" s="27" t="s">
        <v>29</v>
      </c>
      <c r="F146" s="27" t="s">
        <v>59</v>
      </c>
      <c r="G146" s="27" t="s">
        <v>33</v>
      </c>
      <c r="H146" s="27">
        <v>0</v>
      </c>
      <c r="I146" s="27">
        <f t="shared" si="8"/>
        <v>529252.92529252928</v>
      </c>
      <c r="J146" s="27" t="s">
        <v>31</v>
      </c>
      <c r="K146" s="27" t="s">
        <v>31</v>
      </c>
      <c r="L146" s="27" t="s">
        <v>31</v>
      </c>
      <c r="M146" s="27" t="s">
        <v>31</v>
      </c>
      <c r="N146" s="27" t="s">
        <v>1523</v>
      </c>
    </row>
    <row r="147" spans="1:14" s="27" customFormat="1" ht="12.95">
      <c r="A147" s="27" t="s">
        <v>1524</v>
      </c>
      <c r="B147" s="27">
        <f>0.4*1600*B143</f>
        <v>62720000</v>
      </c>
      <c r="C147" s="27" t="s">
        <v>37</v>
      </c>
      <c r="D147" s="27" t="s">
        <v>40</v>
      </c>
      <c r="E147" s="27" t="s">
        <v>29</v>
      </c>
      <c r="F147" s="27" t="s">
        <v>408</v>
      </c>
      <c r="G147" s="27" t="s">
        <v>33</v>
      </c>
      <c r="H147" s="27">
        <v>0</v>
      </c>
      <c r="I147" s="27">
        <f t="shared" si="8"/>
        <v>62720000</v>
      </c>
      <c r="J147" s="27" t="s">
        <v>31</v>
      </c>
      <c r="K147" s="27" t="s">
        <v>31</v>
      </c>
      <c r="L147" s="27" t="s">
        <v>31</v>
      </c>
      <c r="M147" s="27" t="s">
        <v>31</v>
      </c>
      <c r="N147" s="27" t="s">
        <v>1525</v>
      </c>
    </row>
    <row r="148" spans="1:14" s="27" customFormat="1" ht="12.95">
      <c r="A148" s="27" t="s">
        <v>1526</v>
      </c>
      <c r="B148" s="27">
        <f>0.747*B143</f>
        <v>73206</v>
      </c>
      <c r="C148" s="27" t="s">
        <v>42</v>
      </c>
      <c r="D148" s="27" t="s">
        <v>40</v>
      </c>
      <c r="E148" s="27" t="s">
        <v>29</v>
      </c>
      <c r="F148" s="27" t="s">
        <v>35</v>
      </c>
      <c r="G148" s="27" t="s">
        <v>33</v>
      </c>
      <c r="H148" s="27">
        <v>0</v>
      </c>
      <c r="I148" s="27">
        <f t="shared" si="8"/>
        <v>73206</v>
      </c>
      <c r="J148" s="27" t="s">
        <v>31</v>
      </c>
      <c r="K148" s="27" t="s">
        <v>31</v>
      </c>
      <c r="L148" s="27" t="s">
        <v>31</v>
      </c>
      <c r="M148" s="27" t="s">
        <v>31</v>
      </c>
      <c r="N148" s="27" t="s">
        <v>1527</v>
      </c>
    </row>
    <row r="149" spans="1:14" s="27" customFormat="1" ht="12.95">
      <c r="A149" s="27" t="s">
        <v>269</v>
      </c>
      <c r="B149" s="27">
        <f>35.7*B143</f>
        <v>3498600.0000000005</v>
      </c>
      <c r="C149" s="27" t="s">
        <v>39</v>
      </c>
      <c r="D149" s="27" t="s">
        <v>40</v>
      </c>
      <c r="E149" s="27" t="s">
        <v>29</v>
      </c>
      <c r="F149" s="27" t="s">
        <v>35</v>
      </c>
      <c r="G149" s="27" t="s">
        <v>33</v>
      </c>
      <c r="H149" s="27">
        <v>0</v>
      </c>
      <c r="I149" s="27">
        <f t="shared" si="8"/>
        <v>3498600.0000000005</v>
      </c>
      <c r="J149" s="27" t="s">
        <v>31</v>
      </c>
      <c r="K149" s="27" t="s">
        <v>31</v>
      </c>
      <c r="L149" s="27" t="s">
        <v>31</v>
      </c>
      <c r="M149" s="27" t="s">
        <v>31</v>
      </c>
      <c r="N149" s="27" t="s">
        <v>1528</v>
      </c>
    </row>
    <row r="150" spans="1:14" s="27" customFormat="1" ht="12.95">
      <c r="A150" s="27" t="s">
        <v>1529</v>
      </c>
      <c r="B150" s="27">
        <f>250.5*B143</f>
        <v>24549000</v>
      </c>
      <c r="C150" s="27" t="s">
        <v>71</v>
      </c>
      <c r="D150" s="27" t="s">
        <v>40</v>
      </c>
      <c r="E150" s="27" t="s">
        <v>29</v>
      </c>
      <c r="F150" s="27" t="s">
        <v>59</v>
      </c>
      <c r="G150" s="27" t="s">
        <v>33</v>
      </c>
      <c r="H150" s="27">
        <v>0</v>
      </c>
      <c r="I150" s="27">
        <f t="shared" si="8"/>
        <v>24549000</v>
      </c>
      <c r="J150" s="27" t="s">
        <v>31</v>
      </c>
      <c r="K150" s="27" t="s">
        <v>31</v>
      </c>
      <c r="L150" s="27" t="s">
        <v>31</v>
      </c>
      <c r="M150" s="27" t="s">
        <v>31</v>
      </c>
      <c r="N150" s="27" t="s">
        <v>1530</v>
      </c>
    </row>
    <row r="151" spans="1:14" s="27" customFormat="1" ht="15.6">
      <c r="A151" s="28" t="s">
        <v>5</v>
      </c>
      <c r="B151" s="28" t="s">
        <v>1505</v>
      </c>
      <c r="C151" s="29"/>
      <c r="D151" s="30"/>
      <c r="E151" s="30"/>
      <c r="F151" s="30"/>
      <c r="G151" s="30"/>
      <c r="H151" s="30"/>
      <c r="I151" s="30"/>
      <c r="J151" s="30"/>
      <c r="K151" s="30"/>
      <c r="L151" s="30"/>
      <c r="M151" s="30"/>
      <c r="N151" s="30"/>
    </row>
    <row r="152" spans="1:14" s="27" customFormat="1" ht="12.95">
      <c r="A152" s="27" t="s">
        <v>7</v>
      </c>
      <c r="B152" s="27" t="s">
        <v>1429</v>
      </c>
    </row>
    <row r="153" spans="1:14" s="27" customFormat="1" ht="12.95">
      <c r="A153" s="27" t="s">
        <v>9</v>
      </c>
      <c r="B153" s="27" t="s">
        <v>1531</v>
      </c>
    </row>
    <row r="154" spans="1:14" s="27" customFormat="1" ht="12.95">
      <c r="A154" s="27" t="s">
        <v>11</v>
      </c>
      <c r="B154" s="27" t="s">
        <v>1532</v>
      </c>
    </row>
    <row r="155" spans="1:14" s="27" customFormat="1" ht="12.95">
      <c r="A155" s="27" t="s">
        <v>13</v>
      </c>
      <c r="B155" s="27" t="s">
        <v>35</v>
      </c>
    </row>
    <row r="156" spans="1:14" s="27" customFormat="1" ht="12.95">
      <c r="A156" s="27" t="s">
        <v>15</v>
      </c>
      <c r="B156" s="37">
        <v>1</v>
      </c>
    </row>
    <row r="157" spans="1:14" s="27" customFormat="1" ht="12.95">
      <c r="A157" s="27" t="s">
        <v>16</v>
      </c>
      <c r="B157" s="27" t="s">
        <v>17</v>
      </c>
    </row>
    <row r="158" spans="1:14" s="27" customFormat="1" ht="12.95">
      <c r="A158" s="27" t="s">
        <v>18</v>
      </c>
      <c r="B158" s="27" t="s">
        <v>18</v>
      </c>
    </row>
    <row r="159" spans="1:14" ht="15.6">
      <c r="A159" s="26" t="s">
        <v>19</v>
      </c>
    </row>
    <row r="160" spans="1:14" ht="15.6">
      <c r="A160" s="26" t="s">
        <v>20</v>
      </c>
      <c r="B160" s="26" t="s">
        <v>21</v>
      </c>
      <c r="C160" s="26" t="s">
        <v>18</v>
      </c>
      <c r="D160" s="26" t="s">
        <v>22</v>
      </c>
      <c r="E160" s="26" t="s">
        <v>7</v>
      </c>
      <c r="F160" s="26" t="s">
        <v>13</v>
      </c>
      <c r="G160" s="26" t="s">
        <v>16</v>
      </c>
      <c r="H160" s="26" t="s">
        <v>23</v>
      </c>
      <c r="I160" s="26" t="s">
        <v>24</v>
      </c>
      <c r="J160" s="26" t="s">
        <v>25</v>
      </c>
      <c r="K160" s="26" t="s">
        <v>26</v>
      </c>
      <c r="L160" s="26" t="s">
        <v>27</v>
      </c>
      <c r="M160" s="26" t="s">
        <v>28</v>
      </c>
      <c r="N160" s="26" t="s">
        <v>187</v>
      </c>
    </row>
    <row r="161" spans="1:14">
      <c r="A161" s="27" t="str">
        <f>B151</f>
        <v>taxiway</v>
      </c>
      <c r="B161" s="27">
        <f>B156</f>
        <v>1</v>
      </c>
      <c r="C161" s="27" t="str">
        <f>B158</f>
        <v>unit</v>
      </c>
      <c r="D161" s="27" t="s">
        <v>2</v>
      </c>
      <c r="E161" s="27" t="s">
        <v>29</v>
      </c>
      <c r="F161" s="27" t="str">
        <f>B155</f>
        <v>RER</v>
      </c>
      <c r="G161" s="27" t="s">
        <v>30</v>
      </c>
      <c r="H161" s="27">
        <v>0</v>
      </c>
      <c r="I161" s="27">
        <f>B161</f>
        <v>1</v>
      </c>
      <c r="J161" s="27" t="s">
        <v>31</v>
      </c>
      <c r="K161" s="27" t="s">
        <v>31</v>
      </c>
      <c r="L161" s="27" t="s">
        <v>31</v>
      </c>
      <c r="M161" s="27" t="s">
        <v>31</v>
      </c>
      <c r="N161" s="27"/>
    </row>
    <row r="162" spans="1:14">
      <c r="A162" s="37" t="s">
        <v>1488</v>
      </c>
      <c r="B162" s="27">
        <v>78720</v>
      </c>
      <c r="C162" s="27" t="s">
        <v>609</v>
      </c>
      <c r="D162" s="27" t="s">
        <v>39</v>
      </c>
      <c r="E162" s="27" t="s">
        <v>1477</v>
      </c>
      <c r="F162" s="27" t="s">
        <v>29</v>
      </c>
      <c r="G162" s="27" t="s">
        <v>45</v>
      </c>
      <c r="H162" s="27">
        <v>0</v>
      </c>
      <c r="I162" s="27">
        <f>B162</f>
        <v>78720</v>
      </c>
      <c r="J162" s="27" t="s">
        <v>31</v>
      </c>
      <c r="K162" s="27" t="s">
        <v>31</v>
      </c>
      <c r="L162" s="27" t="s">
        <v>31</v>
      </c>
      <c r="M162" s="27" t="s">
        <v>31</v>
      </c>
      <c r="N162" s="27" t="s">
        <v>1478</v>
      </c>
    </row>
    <row r="163" spans="1:14">
      <c r="A163" s="27" t="s">
        <v>1489</v>
      </c>
      <c r="B163" s="27">
        <f>100*B162</f>
        <v>7872000</v>
      </c>
      <c r="C163" s="27" t="s">
        <v>1480</v>
      </c>
      <c r="D163" s="27" t="s">
        <v>43</v>
      </c>
      <c r="E163" s="27" t="s">
        <v>1477</v>
      </c>
      <c r="F163" s="27" t="s">
        <v>29</v>
      </c>
      <c r="G163" s="27" t="s">
        <v>45</v>
      </c>
      <c r="H163" s="27">
        <v>0</v>
      </c>
      <c r="I163" s="27">
        <f>B163</f>
        <v>7872000</v>
      </c>
      <c r="J163" s="27" t="s">
        <v>31</v>
      </c>
      <c r="K163" s="27" t="s">
        <v>31</v>
      </c>
      <c r="L163" s="27" t="s">
        <v>31</v>
      </c>
      <c r="M163" s="27" t="s">
        <v>31</v>
      </c>
      <c r="N163" s="27" t="s">
        <v>1481</v>
      </c>
    </row>
    <row r="164" spans="1:14">
      <c r="A164" s="47" t="s">
        <v>1521</v>
      </c>
      <c r="B164" s="42">
        <f>B162*0.22*P7</f>
        <v>51960.396039603962</v>
      </c>
      <c r="C164" s="27" t="s">
        <v>42</v>
      </c>
      <c r="D164" s="27" t="s">
        <v>40</v>
      </c>
      <c r="E164" s="27" t="s">
        <v>29</v>
      </c>
      <c r="F164" s="27" t="s">
        <v>59</v>
      </c>
      <c r="G164" s="27" t="s">
        <v>33</v>
      </c>
      <c r="H164" s="27">
        <v>0</v>
      </c>
      <c r="I164" s="27">
        <f t="shared" ref="I164:I169" si="9">B164</f>
        <v>51960.396039603962</v>
      </c>
      <c r="J164" s="27" t="s">
        <v>31</v>
      </c>
      <c r="K164" s="27" t="s">
        <v>31</v>
      </c>
      <c r="L164" s="27" t="s">
        <v>31</v>
      </c>
      <c r="M164" s="27" t="s">
        <v>31</v>
      </c>
      <c r="N164" s="27" t="s">
        <v>1522</v>
      </c>
    </row>
    <row r="165" spans="1:14">
      <c r="A165" s="46" t="s">
        <v>86</v>
      </c>
      <c r="B165" s="27">
        <f>1.8*B162*P7</f>
        <v>425130.51305130514</v>
      </c>
      <c r="C165" s="27" t="s">
        <v>37</v>
      </c>
      <c r="D165" s="27" t="s">
        <v>40</v>
      </c>
      <c r="E165" s="27" t="s">
        <v>29</v>
      </c>
      <c r="F165" s="27" t="s">
        <v>59</v>
      </c>
      <c r="G165" s="27" t="s">
        <v>33</v>
      </c>
      <c r="H165" s="27">
        <v>0</v>
      </c>
      <c r="I165" s="27">
        <f t="shared" si="9"/>
        <v>425130.51305130514</v>
      </c>
      <c r="J165" s="27" t="s">
        <v>31</v>
      </c>
      <c r="K165" s="27" t="s">
        <v>31</v>
      </c>
      <c r="L165" s="27" t="s">
        <v>31</v>
      </c>
      <c r="M165" s="27" t="s">
        <v>31</v>
      </c>
      <c r="N165" s="27" t="s">
        <v>1533</v>
      </c>
    </row>
    <row r="166" spans="1:14">
      <c r="A166" s="27" t="s">
        <v>1524</v>
      </c>
      <c r="B166" s="27">
        <f>0.4*1600*B162</f>
        <v>50380800</v>
      </c>
      <c r="C166" s="27" t="s">
        <v>37</v>
      </c>
      <c r="D166" s="27" t="s">
        <v>40</v>
      </c>
      <c r="E166" s="27" t="s">
        <v>29</v>
      </c>
      <c r="F166" s="27" t="s">
        <v>408</v>
      </c>
      <c r="G166" s="27" t="s">
        <v>33</v>
      </c>
      <c r="H166" s="27">
        <v>0</v>
      </c>
      <c r="I166" s="27">
        <f t="shared" si="9"/>
        <v>50380800</v>
      </c>
      <c r="J166" s="27" t="s">
        <v>31</v>
      </c>
      <c r="K166" s="27" t="s">
        <v>31</v>
      </c>
      <c r="L166" s="27" t="s">
        <v>31</v>
      </c>
      <c r="M166" s="27" t="s">
        <v>31</v>
      </c>
      <c r="N166" s="27" t="s">
        <v>1525</v>
      </c>
    </row>
    <row r="167" spans="1:14">
      <c r="A167" s="27" t="s">
        <v>1526</v>
      </c>
      <c r="B167" s="27">
        <f>0.747*B162</f>
        <v>58803.839999999997</v>
      </c>
      <c r="C167" s="27" t="s">
        <v>42</v>
      </c>
      <c r="D167" s="27" t="s">
        <v>40</v>
      </c>
      <c r="E167" s="27" t="s">
        <v>29</v>
      </c>
      <c r="F167" s="27" t="s">
        <v>35</v>
      </c>
      <c r="G167" s="27" t="s">
        <v>33</v>
      </c>
      <c r="H167" s="27">
        <v>0</v>
      </c>
      <c r="I167" s="27">
        <f t="shared" si="9"/>
        <v>58803.839999999997</v>
      </c>
      <c r="J167" s="27" t="s">
        <v>31</v>
      </c>
      <c r="K167" s="27" t="s">
        <v>31</v>
      </c>
      <c r="L167" s="27" t="s">
        <v>31</v>
      </c>
      <c r="M167" s="27" t="s">
        <v>31</v>
      </c>
      <c r="N167" s="27" t="s">
        <v>1527</v>
      </c>
    </row>
    <row r="168" spans="1:14" s="27" customFormat="1" ht="12.95">
      <c r="A168" s="27" t="s">
        <v>269</v>
      </c>
      <c r="B168" s="27">
        <f>35.7*B162</f>
        <v>2810304</v>
      </c>
      <c r="C168" s="27" t="s">
        <v>39</v>
      </c>
      <c r="D168" s="27" t="s">
        <v>40</v>
      </c>
      <c r="E168" s="27" t="s">
        <v>29</v>
      </c>
      <c r="F168" s="27" t="s">
        <v>35</v>
      </c>
      <c r="G168" s="27" t="s">
        <v>33</v>
      </c>
      <c r="H168" s="27">
        <v>0</v>
      </c>
      <c r="I168" s="27">
        <f t="shared" si="9"/>
        <v>2810304</v>
      </c>
      <c r="J168" s="27" t="s">
        <v>31</v>
      </c>
      <c r="K168" s="27" t="s">
        <v>31</v>
      </c>
      <c r="L168" s="27" t="s">
        <v>31</v>
      </c>
      <c r="M168" s="27" t="s">
        <v>31</v>
      </c>
      <c r="N168" s="27" t="s">
        <v>1528</v>
      </c>
    </row>
    <row r="169" spans="1:14" s="27" customFormat="1" ht="12.95">
      <c r="A169" s="27" t="s">
        <v>1529</v>
      </c>
      <c r="B169" s="27">
        <f>250.5*B162</f>
        <v>19719360</v>
      </c>
      <c r="C169" s="27" t="s">
        <v>71</v>
      </c>
      <c r="D169" s="27" t="s">
        <v>40</v>
      </c>
      <c r="E169" s="27" t="s">
        <v>29</v>
      </c>
      <c r="F169" s="27" t="s">
        <v>59</v>
      </c>
      <c r="G169" s="27" t="s">
        <v>33</v>
      </c>
      <c r="H169" s="27">
        <v>0</v>
      </c>
      <c r="I169" s="27">
        <f t="shared" si="9"/>
        <v>19719360</v>
      </c>
      <c r="J169" s="27" t="s">
        <v>31</v>
      </c>
      <c r="K169" s="27" t="s">
        <v>31</v>
      </c>
      <c r="L169" s="27" t="s">
        <v>31</v>
      </c>
      <c r="M169" s="27" t="s">
        <v>31</v>
      </c>
      <c r="N169" s="27" t="s">
        <v>1530</v>
      </c>
    </row>
    <row r="170" spans="1:14" s="27" customFormat="1" ht="15.6">
      <c r="A170" s="28" t="s">
        <v>5</v>
      </c>
      <c r="B170" s="28" t="s">
        <v>1507</v>
      </c>
      <c r="C170" s="29"/>
      <c r="D170" s="30"/>
      <c r="E170" s="30"/>
      <c r="F170" s="30"/>
      <c r="G170" s="30"/>
      <c r="H170" s="30"/>
      <c r="I170" s="30"/>
      <c r="J170" s="30"/>
      <c r="K170" s="30"/>
      <c r="L170" s="30"/>
      <c r="M170" s="30"/>
      <c r="N170" s="30"/>
    </row>
    <row r="171" spans="1:14" s="27" customFormat="1" ht="12.95">
      <c r="A171" s="27" t="s">
        <v>7</v>
      </c>
      <c r="B171" s="27" t="s">
        <v>1429</v>
      </c>
    </row>
    <row r="172" spans="1:14" s="27" customFormat="1" ht="12.95">
      <c r="A172" s="27" t="s">
        <v>9</v>
      </c>
      <c r="B172" s="27" t="s">
        <v>1534</v>
      </c>
    </row>
    <row r="173" spans="1:14" s="27" customFormat="1" ht="12.95">
      <c r="A173" s="27" t="s">
        <v>11</v>
      </c>
      <c r="B173" s="27" t="s">
        <v>1535</v>
      </c>
    </row>
    <row r="174" spans="1:14" s="27" customFormat="1" ht="12.95">
      <c r="A174" s="27" t="s">
        <v>13</v>
      </c>
      <c r="B174" s="27" t="s">
        <v>35</v>
      </c>
    </row>
    <row r="175" spans="1:14" s="27" customFormat="1" ht="12.95">
      <c r="A175" s="27" t="s">
        <v>15</v>
      </c>
      <c r="B175" s="37">
        <v>1</v>
      </c>
    </row>
    <row r="176" spans="1:14" s="27" customFormat="1" ht="12.95">
      <c r="A176" s="27" t="s">
        <v>16</v>
      </c>
      <c r="B176" s="27" t="s">
        <v>17</v>
      </c>
    </row>
    <row r="177" spans="1:14" s="27" customFormat="1" ht="12.95">
      <c r="A177" s="27" t="s">
        <v>18</v>
      </c>
      <c r="B177" s="27" t="s">
        <v>18</v>
      </c>
    </row>
    <row r="178" spans="1:14" ht="15.6">
      <c r="A178" s="26" t="s">
        <v>19</v>
      </c>
    </row>
    <row r="179" spans="1:14" ht="15.6">
      <c r="A179" s="26" t="s">
        <v>20</v>
      </c>
      <c r="B179" s="26" t="s">
        <v>21</v>
      </c>
      <c r="C179" s="26" t="s">
        <v>18</v>
      </c>
      <c r="D179" s="26" t="s">
        <v>22</v>
      </c>
      <c r="E179" s="26" t="s">
        <v>7</v>
      </c>
      <c r="F179" s="26" t="s">
        <v>13</v>
      </c>
      <c r="G179" s="26" t="s">
        <v>16</v>
      </c>
      <c r="H179" s="26" t="s">
        <v>23</v>
      </c>
      <c r="I179" s="26" t="s">
        <v>24</v>
      </c>
      <c r="J179" s="26" t="s">
        <v>25</v>
      </c>
      <c r="K179" s="26" t="s">
        <v>26</v>
      </c>
      <c r="L179" s="26" t="s">
        <v>27</v>
      </c>
      <c r="M179" s="26" t="s">
        <v>28</v>
      </c>
      <c r="N179" s="26" t="s">
        <v>187</v>
      </c>
    </row>
    <row r="180" spans="1:14">
      <c r="A180" s="27" t="str">
        <f>B170</f>
        <v>runway</v>
      </c>
      <c r="B180" s="27">
        <f>B175</f>
        <v>1</v>
      </c>
      <c r="C180" s="27" t="str">
        <f>B177</f>
        <v>unit</v>
      </c>
      <c r="D180" s="27" t="s">
        <v>2</v>
      </c>
      <c r="E180" s="27" t="s">
        <v>29</v>
      </c>
      <c r="F180" s="27" t="str">
        <f>B174</f>
        <v>RER</v>
      </c>
      <c r="G180" s="27" t="s">
        <v>30</v>
      </c>
      <c r="H180" s="27">
        <v>0</v>
      </c>
      <c r="I180" s="27">
        <f>B180</f>
        <v>1</v>
      </c>
      <c r="J180" s="27" t="s">
        <v>31</v>
      </c>
      <c r="K180" s="27" t="s">
        <v>31</v>
      </c>
      <c r="L180" s="27" t="s">
        <v>31</v>
      </c>
      <c r="M180" s="27" t="s">
        <v>31</v>
      </c>
      <c r="N180" s="27"/>
    </row>
    <row r="181" spans="1:14">
      <c r="A181" s="37" t="s">
        <v>1488</v>
      </c>
      <c r="B181" s="27">
        <v>99000</v>
      </c>
      <c r="C181" s="27" t="s">
        <v>609</v>
      </c>
      <c r="D181" s="27" t="s">
        <v>43</v>
      </c>
      <c r="E181" s="27" t="s">
        <v>1477</v>
      </c>
      <c r="F181" s="27" t="s">
        <v>29</v>
      </c>
      <c r="G181" s="27" t="s">
        <v>45</v>
      </c>
      <c r="H181" s="27">
        <v>0</v>
      </c>
      <c r="I181" s="27">
        <f>B181</f>
        <v>99000</v>
      </c>
      <c r="J181" s="27" t="s">
        <v>31</v>
      </c>
      <c r="K181" s="27" t="s">
        <v>31</v>
      </c>
      <c r="L181" s="27" t="s">
        <v>31</v>
      </c>
      <c r="M181" s="27" t="s">
        <v>31</v>
      </c>
      <c r="N181" s="27" t="s">
        <v>1478</v>
      </c>
    </row>
    <row r="182" spans="1:14">
      <c r="A182" s="27" t="s">
        <v>1489</v>
      </c>
      <c r="B182" s="27">
        <f>100*B181</f>
        <v>9900000</v>
      </c>
      <c r="C182" s="27" t="s">
        <v>1480</v>
      </c>
      <c r="D182" s="27" t="s">
        <v>43</v>
      </c>
      <c r="E182" s="27" t="s">
        <v>1477</v>
      </c>
      <c r="F182" s="27" t="s">
        <v>29</v>
      </c>
      <c r="G182" s="27" t="s">
        <v>45</v>
      </c>
      <c r="H182" s="27">
        <v>0</v>
      </c>
      <c r="I182" s="27">
        <f>B182</f>
        <v>9900000</v>
      </c>
      <c r="J182" s="27" t="s">
        <v>31</v>
      </c>
      <c r="K182" s="27" t="s">
        <v>31</v>
      </c>
      <c r="L182" s="27" t="s">
        <v>31</v>
      </c>
      <c r="M182" s="27" t="s">
        <v>31</v>
      </c>
      <c r="N182" s="27" t="s">
        <v>1481</v>
      </c>
    </row>
    <row r="183" spans="1:14">
      <c r="A183" s="47" t="s">
        <v>1521</v>
      </c>
      <c r="B183" s="42">
        <f>B181*0.22*P7</f>
        <v>65346.534653465344</v>
      </c>
      <c r="C183" s="27" t="s">
        <v>42</v>
      </c>
      <c r="D183" s="27" t="s">
        <v>40</v>
      </c>
      <c r="E183" s="27" t="s">
        <v>29</v>
      </c>
      <c r="F183" s="27" t="s">
        <v>59</v>
      </c>
      <c r="G183" s="27" t="s">
        <v>33</v>
      </c>
      <c r="H183" s="27">
        <v>0</v>
      </c>
      <c r="I183" s="27">
        <f t="shared" ref="I183:I188" si="10">B183</f>
        <v>65346.534653465344</v>
      </c>
      <c r="J183" s="27" t="s">
        <v>31</v>
      </c>
      <c r="K183" s="27" t="s">
        <v>31</v>
      </c>
      <c r="L183" s="27" t="s">
        <v>31</v>
      </c>
      <c r="M183" s="27" t="s">
        <v>31</v>
      </c>
      <c r="N183" s="27" t="s">
        <v>1522</v>
      </c>
    </row>
    <row r="184" spans="1:14">
      <c r="A184" s="46" t="s">
        <v>86</v>
      </c>
      <c r="B184" s="27">
        <f>1.8*B181*P7</f>
        <v>534653.46534653462</v>
      </c>
      <c r="C184" s="27" t="s">
        <v>37</v>
      </c>
      <c r="D184" s="27" t="s">
        <v>40</v>
      </c>
      <c r="E184" s="27" t="s">
        <v>29</v>
      </c>
      <c r="F184" s="27" t="s">
        <v>59</v>
      </c>
      <c r="G184" s="27" t="s">
        <v>33</v>
      </c>
      <c r="H184" s="27">
        <v>0</v>
      </c>
      <c r="I184" s="27">
        <f t="shared" si="10"/>
        <v>534653.46534653462</v>
      </c>
      <c r="J184" s="27" t="s">
        <v>31</v>
      </c>
      <c r="K184" s="27" t="s">
        <v>31</v>
      </c>
      <c r="L184" s="27" t="s">
        <v>31</v>
      </c>
      <c r="M184" s="27" t="s">
        <v>31</v>
      </c>
      <c r="N184" s="27" t="s">
        <v>1533</v>
      </c>
    </row>
    <row r="185" spans="1:14">
      <c r="A185" s="27" t="s">
        <v>1524</v>
      </c>
      <c r="B185" s="27">
        <f>0.4*1600*B181</f>
        <v>63360000</v>
      </c>
      <c r="C185" s="27" t="s">
        <v>37</v>
      </c>
      <c r="D185" s="27" t="s">
        <v>40</v>
      </c>
      <c r="E185" s="27" t="s">
        <v>29</v>
      </c>
      <c r="F185" s="27" t="s">
        <v>408</v>
      </c>
      <c r="G185" s="27" t="s">
        <v>33</v>
      </c>
      <c r="H185" s="27">
        <v>0</v>
      </c>
      <c r="I185" s="27">
        <f t="shared" si="10"/>
        <v>63360000</v>
      </c>
      <c r="J185" s="27" t="s">
        <v>31</v>
      </c>
      <c r="K185" s="27" t="s">
        <v>31</v>
      </c>
      <c r="L185" s="27" t="s">
        <v>31</v>
      </c>
      <c r="M185" s="27" t="s">
        <v>31</v>
      </c>
      <c r="N185" s="27" t="s">
        <v>1525</v>
      </c>
    </row>
    <row r="186" spans="1:14">
      <c r="A186" s="27" t="s">
        <v>1526</v>
      </c>
      <c r="B186" s="27">
        <f>0.747*B181</f>
        <v>73953</v>
      </c>
      <c r="C186" s="27" t="s">
        <v>42</v>
      </c>
      <c r="D186" s="27" t="s">
        <v>40</v>
      </c>
      <c r="E186" s="27" t="s">
        <v>29</v>
      </c>
      <c r="F186" s="27" t="s">
        <v>35</v>
      </c>
      <c r="G186" s="27" t="s">
        <v>33</v>
      </c>
      <c r="H186" s="27">
        <v>0</v>
      </c>
      <c r="I186" s="27">
        <f t="shared" si="10"/>
        <v>73953</v>
      </c>
      <c r="J186" s="27" t="s">
        <v>31</v>
      </c>
      <c r="K186" s="27" t="s">
        <v>31</v>
      </c>
      <c r="L186" s="27" t="s">
        <v>31</v>
      </c>
      <c r="M186" s="27" t="s">
        <v>31</v>
      </c>
      <c r="N186" s="27" t="s">
        <v>1527</v>
      </c>
    </row>
    <row r="187" spans="1:14" s="27" customFormat="1" ht="12.95">
      <c r="A187" s="27" t="s">
        <v>269</v>
      </c>
      <c r="B187" s="27">
        <f>35.7*B181</f>
        <v>3534300.0000000005</v>
      </c>
      <c r="C187" s="27" t="s">
        <v>39</v>
      </c>
      <c r="D187" s="27" t="s">
        <v>40</v>
      </c>
      <c r="E187" s="27" t="s">
        <v>29</v>
      </c>
      <c r="F187" s="27" t="s">
        <v>35</v>
      </c>
      <c r="G187" s="27" t="s">
        <v>33</v>
      </c>
      <c r="H187" s="27">
        <v>0</v>
      </c>
      <c r="I187" s="27">
        <f t="shared" si="10"/>
        <v>3534300.0000000005</v>
      </c>
      <c r="J187" s="27" t="s">
        <v>31</v>
      </c>
      <c r="K187" s="27" t="s">
        <v>31</v>
      </c>
      <c r="L187" s="27" t="s">
        <v>31</v>
      </c>
      <c r="M187" s="27" t="s">
        <v>31</v>
      </c>
      <c r="N187" s="27" t="s">
        <v>1528</v>
      </c>
    </row>
    <row r="188" spans="1:14" s="27" customFormat="1" ht="12.95">
      <c r="A188" s="27" t="s">
        <v>1529</v>
      </c>
      <c r="B188" s="27">
        <f>250.5*B181</f>
        <v>24799500</v>
      </c>
      <c r="C188" s="27" t="s">
        <v>71</v>
      </c>
      <c r="D188" s="27" t="s">
        <v>40</v>
      </c>
      <c r="E188" s="27" t="s">
        <v>29</v>
      </c>
      <c r="F188" s="27" t="s">
        <v>59</v>
      </c>
      <c r="G188" s="27" t="s">
        <v>33</v>
      </c>
      <c r="H188" s="27">
        <v>0</v>
      </c>
      <c r="I188" s="27">
        <f t="shared" si="10"/>
        <v>24799500</v>
      </c>
      <c r="J188" s="27" t="s">
        <v>31</v>
      </c>
      <c r="K188" s="27" t="s">
        <v>31</v>
      </c>
      <c r="L188" s="27" t="s">
        <v>31</v>
      </c>
      <c r="M188" s="27" t="s">
        <v>31</v>
      </c>
      <c r="N188" s="27" t="s">
        <v>1530</v>
      </c>
    </row>
    <row r="189" spans="1:14" ht="15.6">
      <c r="A189" s="28" t="s">
        <v>5</v>
      </c>
      <c r="B189" s="28" t="s">
        <v>1509</v>
      </c>
      <c r="C189" s="29"/>
      <c r="D189" s="30"/>
      <c r="E189" s="30"/>
      <c r="F189" s="30"/>
      <c r="G189" s="30"/>
      <c r="H189" s="30"/>
      <c r="I189" s="30"/>
      <c r="J189" s="30"/>
      <c r="K189" s="30"/>
      <c r="L189" s="30"/>
      <c r="M189" s="30"/>
      <c r="N189" s="30"/>
    </row>
    <row r="190" spans="1:14" s="27" customFormat="1" ht="12.95">
      <c r="A190" s="27" t="s">
        <v>7</v>
      </c>
      <c r="B190" s="27" t="s">
        <v>1429</v>
      </c>
    </row>
    <row r="191" spans="1:14" s="27" customFormat="1" ht="12.95">
      <c r="A191" s="27" t="s">
        <v>9</v>
      </c>
      <c r="B191" s="27" t="s">
        <v>1536</v>
      </c>
    </row>
    <row r="192" spans="1:14" s="27" customFormat="1" ht="12.95">
      <c r="A192" s="27" t="s">
        <v>11</v>
      </c>
      <c r="B192" s="27" t="s">
        <v>1537</v>
      </c>
    </row>
    <row r="193" spans="1:14" s="27" customFormat="1" ht="12.95">
      <c r="A193" s="27" t="s">
        <v>13</v>
      </c>
      <c r="B193" s="27" t="s">
        <v>35</v>
      </c>
    </row>
    <row r="194" spans="1:14" s="27" customFormat="1" ht="12.95">
      <c r="A194" s="27" t="s">
        <v>15</v>
      </c>
      <c r="B194" s="37">
        <v>1</v>
      </c>
    </row>
    <row r="195" spans="1:14" s="27" customFormat="1" ht="12.95">
      <c r="A195" s="27" t="s">
        <v>16</v>
      </c>
      <c r="B195" s="27" t="s">
        <v>17</v>
      </c>
    </row>
    <row r="196" spans="1:14" s="27" customFormat="1" ht="12.95">
      <c r="A196" s="27" t="s">
        <v>18</v>
      </c>
      <c r="B196" s="27" t="s">
        <v>18</v>
      </c>
    </row>
    <row r="197" spans="1:14" ht="15.6">
      <c r="A197" s="26" t="s">
        <v>19</v>
      </c>
    </row>
    <row r="198" spans="1:14" ht="15.6">
      <c r="A198" s="26" t="s">
        <v>20</v>
      </c>
      <c r="B198" s="26" t="s">
        <v>21</v>
      </c>
      <c r="C198" s="26" t="s">
        <v>18</v>
      </c>
      <c r="D198" s="26" t="s">
        <v>22</v>
      </c>
      <c r="E198" s="26" t="s">
        <v>7</v>
      </c>
      <c r="F198" s="26" t="s">
        <v>13</v>
      </c>
      <c r="G198" s="26" t="s">
        <v>16</v>
      </c>
      <c r="H198" s="26" t="s">
        <v>23</v>
      </c>
      <c r="I198" s="26" t="s">
        <v>24</v>
      </c>
      <c r="J198" s="26" t="s">
        <v>25</v>
      </c>
      <c r="K198" s="26" t="s">
        <v>26</v>
      </c>
      <c r="L198" s="26" t="s">
        <v>27</v>
      </c>
      <c r="M198" s="26" t="s">
        <v>28</v>
      </c>
      <c r="N198" s="26" t="s">
        <v>187</v>
      </c>
    </row>
    <row r="199" spans="1:14" s="27" customFormat="1" ht="12.95">
      <c r="A199" s="27" t="str">
        <f>B189</f>
        <v>airside green areas</v>
      </c>
      <c r="B199" s="27">
        <f>B194</f>
        <v>1</v>
      </c>
      <c r="C199" s="27" t="str">
        <f>B196</f>
        <v>unit</v>
      </c>
      <c r="D199" s="27" t="s">
        <v>2</v>
      </c>
      <c r="E199" s="27" t="s">
        <v>29</v>
      </c>
      <c r="F199" s="27" t="str">
        <f>B193</f>
        <v>RER</v>
      </c>
      <c r="G199" s="27" t="s">
        <v>30</v>
      </c>
      <c r="H199" s="27">
        <v>0</v>
      </c>
      <c r="I199" s="27">
        <f>B199</f>
        <v>1</v>
      </c>
      <c r="J199" s="27" t="s">
        <v>31</v>
      </c>
      <c r="K199" s="27" t="s">
        <v>31</v>
      </c>
      <c r="L199" s="27" t="s">
        <v>31</v>
      </c>
      <c r="M199" s="27" t="s">
        <v>31</v>
      </c>
    </row>
    <row r="200" spans="1:14" s="27" customFormat="1" ht="12.95">
      <c r="A200" s="37" t="s">
        <v>1494</v>
      </c>
      <c r="B200" s="42">
        <v>1403948</v>
      </c>
      <c r="C200" s="27" t="s">
        <v>609</v>
      </c>
      <c r="D200" s="27" t="s">
        <v>43</v>
      </c>
      <c r="E200" s="27" t="s">
        <v>1477</v>
      </c>
      <c r="F200" s="27" t="s">
        <v>29</v>
      </c>
      <c r="G200" s="27" t="s">
        <v>45</v>
      </c>
      <c r="H200" s="27">
        <v>0</v>
      </c>
      <c r="I200" s="27">
        <f t="shared" ref="I200" si="11">B200</f>
        <v>1403948</v>
      </c>
      <c r="J200" s="27" t="s">
        <v>31</v>
      </c>
      <c r="K200" s="27" t="s">
        <v>31</v>
      </c>
      <c r="L200" s="27" t="s">
        <v>31</v>
      </c>
      <c r="M200" s="27" t="s">
        <v>31</v>
      </c>
      <c r="N200" s="27" t="s">
        <v>1478</v>
      </c>
    </row>
    <row r="201" spans="1:14">
      <c r="A201" s="30"/>
      <c r="B201" s="30"/>
      <c r="C201" s="30"/>
      <c r="D201" s="30"/>
      <c r="E201" s="30"/>
      <c r="F201" s="30"/>
      <c r="G201" s="30"/>
      <c r="H201" s="30"/>
      <c r="I201" s="30"/>
      <c r="J201" s="30"/>
      <c r="K201" s="30"/>
      <c r="L201" s="30"/>
      <c r="M201" s="30"/>
      <c r="N201" s="30"/>
    </row>
  </sheetData>
  <mergeCells count="1">
    <mergeCell ref="O3:P3"/>
  </mergeCells>
  <pageMargins left="0.7" right="0.7" top="0.75" bottom="0.75" header="0.3" footer="0.3"/>
  <pageSetup paperSize="9" orientation="portrai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93161-156F-4DC0-A468-9082F6A4ECB9}">
  <dimension ref="A1:Q54"/>
  <sheetViews>
    <sheetView topLeftCell="A42" workbookViewId="0">
      <selection activeCell="D13" sqref="D13"/>
    </sheetView>
  </sheetViews>
  <sheetFormatPr defaultColWidth="8.85546875" defaultRowHeight="14.45"/>
  <cols>
    <col min="1" max="1" width="33" style="24" customWidth="1"/>
    <col min="2" max="2" width="20.28515625" style="24" customWidth="1"/>
    <col min="3" max="3" width="10.7109375" style="24" customWidth="1"/>
    <col min="4" max="4" width="33.85546875" style="24" customWidth="1"/>
    <col min="5" max="7" width="12.5703125" style="24" customWidth="1"/>
    <col min="8" max="8" width="17.7109375" style="24" customWidth="1"/>
    <col min="9" max="9" width="13" style="24" customWidth="1"/>
    <col min="10" max="14" width="12" style="24" customWidth="1"/>
    <col min="15" max="15" width="17.7109375" style="24" customWidth="1"/>
    <col min="16" max="16" width="10.42578125" style="24" customWidth="1"/>
    <col min="17" max="16384" width="8.85546875" style="24"/>
  </cols>
  <sheetData>
    <row r="1" spans="1:17">
      <c r="A1" s="24" t="s">
        <v>0</v>
      </c>
      <c r="B1" s="24">
        <v>13</v>
      </c>
      <c r="C1" s="25"/>
    </row>
    <row r="2" spans="1:17" ht="15.6">
      <c r="A2" s="28" t="s">
        <v>5</v>
      </c>
      <c r="B2" s="28" t="s">
        <v>1449</v>
      </c>
      <c r="C2" s="29"/>
      <c r="D2" s="30"/>
      <c r="E2" s="30"/>
      <c r="F2" s="30"/>
      <c r="G2" s="30"/>
      <c r="H2" s="30"/>
      <c r="I2" s="30"/>
      <c r="J2" s="30"/>
      <c r="K2" s="30"/>
      <c r="L2" s="30"/>
      <c r="M2" s="30"/>
      <c r="N2" s="30"/>
    </row>
    <row r="3" spans="1:17">
      <c r="A3" s="27" t="s">
        <v>7</v>
      </c>
      <c r="B3" s="27" t="s">
        <v>1429</v>
      </c>
      <c r="C3" s="27"/>
      <c r="D3" s="27"/>
      <c r="E3" s="27"/>
      <c r="F3" s="27"/>
      <c r="G3" s="27"/>
      <c r="H3" s="27"/>
      <c r="I3" s="27"/>
      <c r="J3" s="27"/>
      <c r="K3" s="27"/>
      <c r="L3" s="27"/>
      <c r="M3" s="27"/>
      <c r="N3" s="27"/>
      <c r="O3" s="505" t="s">
        <v>1430</v>
      </c>
      <c r="P3" s="506"/>
      <c r="Q3" s="507"/>
    </row>
    <row r="4" spans="1:17">
      <c r="A4" s="27" t="s">
        <v>9</v>
      </c>
      <c r="B4" s="27" t="s">
        <v>1538</v>
      </c>
      <c r="C4" s="27"/>
      <c r="D4" s="27"/>
      <c r="E4" s="27"/>
      <c r="F4" s="27"/>
      <c r="G4" s="27"/>
      <c r="H4" s="27"/>
      <c r="I4" s="27"/>
      <c r="J4" s="27"/>
      <c r="K4" s="27"/>
      <c r="L4" s="27"/>
      <c r="M4" s="27"/>
      <c r="N4" s="27"/>
      <c r="O4" s="31" t="s">
        <v>1432</v>
      </c>
      <c r="P4" s="32" t="s">
        <v>1433</v>
      </c>
      <c r="Q4" s="33" t="s">
        <v>1434</v>
      </c>
    </row>
    <row r="5" spans="1:17">
      <c r="A5" s="27" t="s">
        <v>11</v>
      </c>
      <c r="B5" s="27" t="s">
        <v>1539</v>
      </c>
      <c r="C5" s="27"/>
      <c r="D5" s="27"/>
      <c r="E5" s="27"/>
      <c r="F5" s="27"/>
      <c r="G5" s="27"/>
      <c r="H5" s="27"/>
      <c r="I5" s="27"/>
      <c r="J5" s="27"/>
      <c r="K5" s="27"/>
      <c r="L5" s="27"/>
      <c r="M5" s="27"/>
      <c r="N5" s="27"/>
      <c r="O5" s="34" t="s">
        <v>1461</v>
      </c>
      <c r="P5" s="35">
        <v>100</v>
      </c>
      <c r="Q5" s="36">
        <f>P5/P5</f>
        <v>1</v>
      </c>
    </row>
    <row r="6" spans="1:17">
      <c r="A6" s="27" t="s">
        <v>13</v>
      </c>
      <c r="B6" s="27" t="s">
        <v>35</v>
      </c>
      <c r="C6" s="27"/>
      <c r="D6" s="27"/>
      <c r="E6" s="27"/>
      <c r="F6" s="27"/>
      <c r="G6" s="27"/>
      <c r="H6" s="27"/>
      <c r="I6" s="27"/>
      <c r="J6" s="27"/>
      <c r="K6" s="27"/>
      <c r="L6" s="27"/>
      <c r="M6" s="27"/>
      <c r="N6" s="27"/>
      <c r="O6" s="34" t="s">
        <v>1503</v>
      </c>
      <c r="P6" s="35">
        <v>33.33</v>
      </c>
      <c r="Q6" s="36">
        <f>P5/P6</f>
        <v>3.0003000300030003</v>
      </c>
    </row>
    <row r="7" spans="1:17">
      <c r="A7" s="27" t="s">
        <v>15</v>
      </c>
      <c r="B7" s="37">
        <v>1</v>
      </c>
      <c r="C7" s="27"/>
      <c r="D7" s="27"/>
      <c r="E7" s="27"/>
      <c r="F7" s="27"/>
      <c r="G7" s="27"/>
      <c r="H7" s="27"/>
      <c r="I7" s="27"/>
      <c r="J7" s="27"/>
      <c r="K7" s="27"/>
      <c r="L7" s="27"/>
      <c r="M7" s="27"/>
      <c r="N7" s="27"/>
      <c r="O7" s="34" t="s">
        <v>1505</v>
      </c>
      <c r="P7" s="35">
        <v>33.33</v>
      </c>
      <c r="Q7" s="36">
        <f>P5/P7</f>
        <v>3.0003000300030003</v>
      </c>
    </row>
    <row r="8" spans="1:17">
      <c r="A8" s="27" t="s">
        <v>16</v>
      </c>
      <c r="B8" s="27" t="s">
        <v>17</v>
      </c>
      <c r="C8" s="27"/>
      <c r="D8" s="27"/>
      <c r="E8" s="27"/>
      <c r="F8" s="27"/>
      <c r="G8" s="27"/>
      <c r="H8" s="27"/>
      <c r="I8" s="27"/>
      <c r="J8" s="27"/>
      <c r="K8" s="27"/>
      <c r="L8" s="27"/>
      <c r="M8" s="27"/>
      <c r="N8" s="27"/>
      <c r="O8" s="38" t="s">
        <v>1507</v>
      </c>
      <c r="P8" s="39">
        <v>33.33</v>
      </c>
      <c r="Q8" s="40">
        <f>P5/P8</f>
        <v>3.0003000300030003</v>
      </c>
    </row>
    <row r="9" spans="1:17">
      <c r="A9" s="27" t="s">
        <v>18</v>
      </c>
      <c r="B9" s="27" t="s">
        <v>18</v>
      </c>
      <c r="C9" s="27"/>
      <c r="D9" s="27"/>
      <c r="E9" s="27"/>
      <c r="F9" s="27"/>
      <c r="G9" s="27"/>
      <c r="H9" s="27"/>
      <c r="I9" s="27"/>
      <c r="J9" s="27"/>
      <c r="K9" s="27"/>
      <c r="L9" s="27"/>
      <c r="M9" s="27"/>
      <c r="N9" s="27"/>
      <c r="O9" s="37"/>
      <c r="P9" s="27"/>
    </row>
    <row r="10" spans="1:17" ht="15.6">
      <c r="A10" s="26" t="s">
        <v>19</v>
      </c>
      <c r="O10" s="27"/>
      <c r="P10" s="27"/>
    </row>
    <row r="11" spans="1:17"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row>
    <row r="12" spans="1:17">
      <c r="A12" s="27" t="str">
        <f>B2</f>
        <v>airport decommission</v>
      </c>
      <c r="B12" s="27">
        <f>B7</f>
        <v>1</v>
      </c>
      <c r="C12" s="27" t="str">
        <f>B9</f>
        <v>unit</v>
      </c>
      <c r="D12" s="27" t="s">
        <v>2</v>
      </c>
      <c r="E12" s="27" t="s">
        <v>29</v>
      </c>
      <c r="F12" s="27" t="str">
        <f>B6</f>
        <v>RER</v>
      </c>
      <c r="G12" s="27" t="s">
        <v>30</v>
      </c>
      <c r="H12" s="27">
        <v>0</v>
      </c>
      <c r="I12" s="27">
        <f>B12</f>
        <v>1</v>
      </c>
      <c r="J12" s="27"/>
      <c r="K12" s="27"/>
      <c r="L12" s="27"/>
      <c r="M12" s="27"/>
      <c r="N12" s="27"/>
      <c r="O12" s="27"/>
      <c r="P12" s="27"/>
    </row>
    <row r="13" spans="1:17">
      <c r="A13" s="27" t="s">
        <v>1540</v>
      </c>
      <c r="B13" s="41">
        <f>1*Q6</f>
        <v>3.0003000300030003</v>
      </c>
      <c r="C13" s="27" t="s">
        <v>18</v>
      </c>
      <c r="D13" s="27" t="s">
        <v>2</v>
      </c>
      <c r="E13" s="27" t="s">
        <v>29</v>
      </c>
      <c r="F13" s="27" t="s">
        <v>35</v>
      </c>
      <c r="G13" s="27" t="s">
        <v>33</v>
      </c>
      <c r="H13" s="27">
        <v>0</v>
      </c>
      <c r="I13" s="27">
        <f>B13</f>
        <v>3.0003000300030003</v>
      </c>
      <c r="J13" s="27" t="s">
        <v>31</v>
      </c>
      <c r="K13" s="27" t="s">
        <v>31</v>
      </c>
      <c r="L13" s="27" t="s">
        <v>31</v>
      </c>
      <c r="M13" s="27" t="s">
        <v>31</v>
      </c>
      <c r="N13" s="27"/>
      <c r="O13" s="27"/>
      <c r="P13" s="27"/>
    </row>
    <row r="14" spans="1:17">
      <c r="A14" s="27" t="s">
        <v>1541</v>
      </c>
      <c r="B14" s="41">
        <f t="shared" ref="B14:B15" si="0">1*Q7</f>
        <v>3.0003000300030003</v>
      </c>
      <c r="C14" s="27" t="s">
        <v>18</v>
      </c>
      <c r="D14" s="27" t="s">
        <v>2</v>
      </c>
      <c r="E14" s="27" t="s">
        <v>29</v>
      </c>
      <c r="F14" s="27" t="s">
        <v>35</v>
      </c>
      <c r="G14" s="27" t="s">
        <v>33</v>
      </c>
      <c r="H14" s="27">
        <v>0</v>
      </c>
      <c r="I14" s="27">
        <f t="shared" ref="I14:I15" si="1">B14</f>
        <v>3.0003000300030003</v>
      </c>
      <c r="J14" s="27" t="s">
        <v>31</v>
      </c>
      <c r="K14" s="27" t="s">
        <v>31</v>
      </c>
      <c r="L14" s="27" t="s">
        <v>31</v>
      </c>
      <c r="M14" s="27" t="s">
        <v>31</v>
      </c>
      <c r="N14" s="27"/>
      <c r="O14" s="27"/>
      <c r="P14" s="27"/>
    </row>
    <row r="15" spans="1:17">
      <c r="A15" s="27" t="s">
        <v>1542</v>
      </c>
      <c r="B15" s="41">
        <f t="shared" si="0"/>
        <v>3.0003000300030003</v>
      </c>
      <c r="C15" s="27" t="s">
        <v>18</v>
      </c>
      <c r="D15" s="27" t="s">
        <v>2</v>
      </c>
      <c r="E15" s="27" t="s">
        <v>29</v>
      </c>
      <c r="F15" s="27" t="s">
        <v>35</v>
      </c>
      <c r="G15" s="27" t="s">
        <v>33</v>
      </c>
      <c r="H15" s="27">
        <v>0</v>
      </c>
      <c r="I15" s="27">
        <f t="shared" si="1"/>
        <v>3.0003000300030003</v>
      </c>
      <c r="J15" s="27" t="s">
        <v>31</v>
      </c>
      <c r="K15" s="27" t="s">
        <v>31</v>
      </c>
      <c r="L15" s="27" t="s">
        <v>31</v>
      </c>
      <c r="M15" s="27" t="s">
        <v>31</v>
      </c>
      <c r="N15" s="27"/>
      <c r="O15" s="27"/>
      <c r="P15" s="27"/>
    </row>
    <row r="16" spans="1:17" ht="15.6">
      <c r="A16" s="28" t="s">
        <v>5</v>
      </c>
      <c r="B16" s="28" t="s">
        <v>1540</v>
      </c>
      <c r="C16" s="29"/>
      <c r="D16" s="30"/>
      <c r="E16" s="30"/>
      <c r="F16" s="30"/>
      <c r="G16" s="30"/>
      <c r="H16" s="30"/>
      <c r="I16" s="30"/>
      <c r="J16" s="30"/>
      <c r="K16" s="30"/>
      <c r="L16" s="30"/>
      <c r="M16" s="30"/>
      <c r="N16" s="30"/>
      <c r="O16" s="27"/>
      <c r="P16" s="27"/>
    </row>
    <row r="17" spans="1:16">
      <c r="A17" s="27" t="s">
        <v>7</v>
      </c>
      <c r="B17" s="27" t="s">
        <v>1429</v>
      </c>
      <c r="C17" s="27"/>
      <c r="D17" s="27"/>
      <c r="E17" s="27"/>
      <c r="F17" s="27"/>
      <c r="G17" s="27"/>
      <c r="H17" s="27"/>
      <c r="I17" s="27"/>
      <c r="J17" s="27"/>
      <c r="K17" s="27"/>
      <c r="L17" s="27"/>
      <c r="M17" s="27"/>
      <c r="N17" s="27"/>
      <c r="O17" s="48" t="s">
        <v>1543</v>
      </c>
      <c r="P17" s="27"/>
    </row>
    <row r="18" spans="1:16">
      <c r="A18" s="27" t="s">
        <v>9</v>
      </c>
      <c r="B18" s="27" t="s">
        <v>1544</v>
      </c>
      <c r="C18" s="27"/>
      <c r="D18" s="27"/>
      <c r="E18" s="27"/>
      <c r="F18" s="27"/>
      <c r="G18" s="27"/>
      <c r="H18" s="27"/>
      <c r="I18" s="27"/>
      <c r="J18" s="27"/>
      <c r="K18" s="27"/>
      <c r="L18" s="27"/>
      <c r="M18" s="27"/>
      <c r="N18" s="27"/>
      <c r="O18" s="49">
        <v>98000</v>
      </c>
      <c r="P18" s="27"/>
    </row>
    <row r="19" spans="1:16">
      <c r="A19" s="27" t="s">
        <v>11</v>
      </c>
      <c r="B19" s="27" t="s">
        <v>1545</v>
      </c>
      <c r="C19" s="27"/>
      <c r="D19" s="27"/>
      <c r="E19" s="27"/>
      <c r="F19" s="27"/>
      <c r="G19" s="27"/>
      <c r="H19" s="27"/>
      <c r="I19" s="27"/>
      <c r="J19" s="27"/>
      <c r="K19" s="27"/>
      <c r="L19" s="27"/>
      <c r="M19" s="27"/>
      <c r="N19" s="27"/>
      <c r="O19" s="27"/>
      <c r="P19" s="27"/>
    </row>
    <row r="20" spans="1:16">
      <c r="A20" s="27" t="s">
        <v>13</v>
      </c>
      <c r="B20" s="27" t="s">
        <v>35</v>
      </c>
      <c r="C20" s="27"/>
      <c r="D20" s="27"/>
      <c r="E20" s="27"/>
      <c r="F20" s="27"/>
      <c r="G20" s="27"/>
      <c r="H20" s="27"/>
      <c r="I20" s="27"/>
      <c r="J20" s="27"/>
      <c r="K20" s="27"/>
      <c r="L20" s="27"/>
      <c r="M20" s="27"/>
      <c r="N20" s="27"/>
      <c r="O20" s="27"/>
      <c r="P20" s="27"/>
    </row>
    <row r="21" spans="1:16">
      <c r="A21" s="27" t="s">
        <v>15</v>
      </c>
      <c r="B21" s="37">
        <v>1</v>
      </c>
      <c r="C21" s="27"/>
      <c r="D21" s="27"/>
      <c r="E21" s="27"/>
      <c r="F21" s="27"/>
      <c r="G21" s="27"/>
      <c r="H21" s="27"/>
      <c r="I21" s="27"/>
      <c r="J21" s="27"/>
      <c r="K21" s="27"/>
      <c r="L21" s="27"/>
      <c r="M21" s="27"/>
      <c r="N21" s="27"/>
    </row>
    <row r="22" spans="1:16">
      <c r="A22" s="27" t="s">
        <v>16</v>
      </c>
      <c r="B22" s="27" t="s">
        <v>17</v>
      </c>
      <c r="C22" s="27"/>
      <c r="D22" s="27"/>
      <c r="E22" s="27"/>
      <c r="F22" s="27"/>
      <c r="G22" s="27"/>
      <c r="H22" s="27"/>
      <c r="I22" s="27"/>
      <c r="J22" s="27"/>
      <c r="K22" s="27"/>
      <c r="L22" s="27"/>
      <c r="M22" s="27"/>
      <c r="N22" s="27"/>
    </row>
    <row r="23" spans="1:16">
      <c r="A23" s="27" t="s">
        <v>18</v>
      </c>
      <c r="B23" s="27" t="s">
        <v>18</v>
      </c>
      <c r="C23" s="27"/>
      <c r="D23" s="27"/>
      <c r="E23" s="27"/>
      <c r="F23" s="27"/>
      <c r="G23" s="27"/>
      <c r="H23" s="27"/>
      <c r="I23" s="27"/>
      <c r="J23" s="27"/>
      <c r="K23" s="27"/>
      <c r="L23" s="27"/>
      <c r="M23" s="27"/>
      <c r="N23" s="27"/>
    </row>
    <row r="24" spans="1:16" ht="15.6">
      <c r="A24" s="26" t="s">
        <v>19</v>
      </c>
    </row>
    <row r="25" spans="1:16" ht="15.6">
      <c r="A25" s="26" t="s">
        <v>20</v>
      </c>
      <c r="B25" s="26" t="s">
        <v>21</v>
      </c>
      <c r="C25" s="26" t="s">
        <v>18</v>
      </c>
      <c r="D25" s="26" t="s">
        <v>22</v>
      </c>
      <c r="E25" s="26" t="s">
        <v>7</v>
      </c>
      <c r="F25" s="26" t="s">
        <v>13</v>
      </c>
      <c r="G25" s="26" t="s">
        <v>16</v>
      </c>
      <c r="H25" s="26" t="s">
        <v>23</v>
      </c>
      <c r="I25" s="26" t="s">
        <v>24</v>
      </c>
      <c r="J25" s="26" t="s">
        <v>25</v>
      </c>
      <c r="K25" s="26" t="s">
        <v>26</v>
      </c>
      <c r="L25" s="26" t="s">
        <v>27</v>
      </c>
      <c r="M25" s="26" t="s">
        <v>28</v>
      </c>
      <c r="N25" s="26" t="s">
        <v>187</v>
      </c>
    </row>
    <row r="26" spans="1:16">
      <c r="A26" s="27" t="str">
        <f>B16</f>
        <v>apron disposal</v>
      </c>
      <c r="B26" s="27">
        <f>B21</f>
        <v>1</v>
      </c>
      <c r="C26" s="27" t="str">
        <f>B23</f>
        <v>unit</v>
      </c>
      <c r="D26" s="27" t="s">
        <v>2</v>
      </c>
      <c r="E26" s="27" t="s">
        <v>29</v>
      </c>
      <c r="F26" s="27" t="str">
        <f>B20</f>
        <v>RER</v>
      </c>
      <c r="G26" s="27" t="s">
        <v>30</v>
      </c>
      <c r="H26" s="27">
        <v>0</v>
      </c>
      <c r="I26" s="27">
        <f>B26</f>
        <v>1</v>
      </c>
      <c r="J26" s="27"/>
      <c r="K26" s="27"/>
      <c r="L26" s="27"/>
      <c r="M26" s="27"/>
      <c r="N26" s="27"/>
    </row>
    <row r="27" spans="1:16">
      <c r="A27" s="27" t="s">
        <v>1526</v>
      </c>
      <c r="B27" s="27">
        <f>O18*0.21</f>
        <v>20580</v>
      </c>
      <c r="C27" s="27" t="s">
        <v>42</v>
      </c>
      <c r="D27" s="27" t="s">
        <v>40</v>
      </c>
      <c r="E27" s="27" t="s">
        <v>29</v>
      </c>
      <c r="F27" s="27" t="s">
        <v>35</v>
      </c>
      <c r="G27" s="27" t="s">
        <v>33</v>
      </c>
      <c r="H27" s="27">
        <v>0</v>
      </c>
      <c r="I27" s="27">
        <f t="shared" ref="I27" si="2">B27</f>
        <v>20580</v>
      </c>
      <c r="J27" s="27" t="s">
        <v>31</v>
      </c>
      <c r="K27" s="27" t="s">
        <v>31</v>
      </c>
      <c r="L27" s="27" t="s">
        <v>31</v>
      </c>
      <c r="M27" s="27" t="s">
        <v>31</v>
      </c>
      <c r="N27" s="27" t="s">
        <v>1546</v>
      </c>
    </row>
    <row r="28" spans="1:16" s="27" customFormat="1" ht="12.95">
      <c r="A28" s="27" t="s">
        <v>1547</v>
      </c>
      <c r="B28" s="27">
        <f>O18*2195.45*(1+0.02)</f>
        <v>219457181.99999997</v>
      </c>
      <c r="C28" s="27" t="s">
        <v>37</v>
      </c>
      <c r="D28" s="27" t="s">
        <v>40</v>
      </c>
      <c r="E28" s="27" t="s">
        <v>29</v>
      </c>
      <c r="F28" s="27" t="s">
        <v>408</v>
      </c>
      <c r="G28" s="27" t="s">
        <v>33</v>
      </c>
      <c r="H28" s="27">
        <v>0</v>
      </c>
      <c r="I28" s="42">
        <f>ABS(B28)</f>
        <v>219457181.99999997</v>
      </c>
      <c r="J28" s="27" t="s">
        <v>31</v>
      </c>
      <c r="K28" s="27" t="s">
        <v>31</v>
      </c>
      <c r="L28" s="27" t="s">
        <v>31</v>
      </c>
      <c r="M28" s="27" t="s">
        <v>31</v>
      </c>
      <c r="N28" s="27" t="s">
        <v>1548</v>
      </c>
    </row>
    <row r="29" spans="1:16" ht="15.6">
      <c r="A29" s="28" t="s">
        <v>5</v>
      </c>
      <c r="B29" s="28" t="s">
        <v>1541</v>
      </c>
      <c r="C29" s="29"/>
      <c r="D29" s="30"/>
      <c r="E29" s="30"/>
      <c r="F29" s="30"/>
      <c r="G29" s="30"/>
      <c r="H29" s="30"/>
      <c r="I29" s="30"/>
      <c r="J29" s="30"/>
      <c r="K29" s="30"/>
      <c r="L29" s="30"/>
      <c r="M29" s="30"/>
      <c r="N29" s="30"/>
      <c r="O29" s="27"/>
      <c r="P29" s="27"/>
    </row>
    <row r="30" spans="1:16">
      <c r="A30" s="27" t="s">
        <v>7</v>
      </c>
      <c r="B30" s="27" t="s">
        <v>1429</v>
      </c>
      <c r="C30" s="27"/>
      <c r="D30" s="27"/>
      <c r="E30" s="27"/>
      <c r="F30" s="27"/>
      <c r="G30" s="27"/>
      <c r="H30" s="27"/>
      <c r="I30" s="27"/>
      <c r="J30" s="27"/>
      <c r="K30" s="27"/>
      <c r="L30" s="27"/>
      <c r="M30" s="27"/>
      <c r="N30" s="27"/>
      <c r="O30" s="48" t="s">
        <v>1549</v>
      </c>
      <c r="P30" s="27"/>
    </row>
    <row r="31" spans="1:16">
      <c r="A31" s="27" t="s">
        <v>9</v>
      </c>
      <c r="B31" s="27" t="s">
        <v>1550</v>
      </c>
      <c r="C31" s="27"/>
      <c r="D31" s="27"/>
      <c r="E31" s="27"/>
      <c r="F31" s="27"/>
      <c r="G31" s="27"/>
      <c r="H31" s="27"/>
      <c r="I31" s="27"/>
      <c r="J31" s="27"/>
      <c r="K31" s="27"/>
      <c r="L31" s="27"/>
      <c r="M31" s="27"/>
      <c r="N31" s="27"/>
      <c r="O31" s="49">
        <v>78720</v>
      </c>
      <c r="P31" s="27"/>
    </row>
    <row r="32" spans="1:16">
      <c r="A32" s="27" t="s">
        <v>11</v>
      </c>
      <c r="B32" s="27" t="s">
        <v>1545</v>
      </c>
      <c r="C32" s="27"/>
      <c r="D32" s="27"/>
      <c r="E32" s="27"/>
      <c r="F32" s="27"/>
      <c r="G32" s="27"/>
      <c r="H32" s="27"/>
      <c r="I32" s="27"/>
      <c r="J32" s="27"/>
      <c r="K32" s="27"/>
      <c r="L32" s="27"/>
      <c r="M32" s="27"/>
      <c r="N32" s="27"/>
      <c r="O32" s="27"/>
      <c r="P32" s="27"/>
    </row>
    <row r="33" spans="1:16">
      <c r="A33" s="27" t="s">
        <v>13</v>
      </c>
      <c r="B33" s="27" t="s">
        <v>35</v>
      </c>
      <c r="C33" s="27"/>
      <c r="D33" s="27"/>
      <c r="E33" s="27"/>
      <c r="F33" s="27"/>
      <c r="G33" s="27"/>
      <c r="H33" s="27"/>
      <c r="I33" s="27"/>
      <c r="J33" s="27"/>
      <c r="K33" s="27"/>
      <c r="L33" s="27"/>
      <c r="M33" s="27"/>
      <c r="N33" s="27"/>
      <c r="O33" s="27"/>
      <c r="P33" s="27"/>
    </row>
    <row r="34" spans="1:16">
      <c r="A34" s="27" t="s">
        <v>15</v>
      </c>
      <c r="B34" s="37">
        <v>1</v>
      </c>
      <c r="C34" s="27"/>
      <c r="D34" s="27"/>
      <c r="E34" s="27"/>
      <c r="F34" s="27"/>
      <c r="G34" s="27"/>
      <c r="H34" s="27"/>
      <c r="I34" s="27"/>
      <c r="J34" s="27"/>
      <c r="K34" s="27"/>
      <c r="L34" s="27"/>
      <c r="M34" s="27"/>
      <c r="N34" s="27"/>
    </row>
    <row r="35" spans="1:16">
      <c r="A35" s="27" t="s">
        <v>16</v>
      </c>
      <c r="B35" s="27" t="s">
        <v>17</v>
      </c>
      <c r="C35" s="27"/>
      <c r="D35" s="27"/>
      <c r="E35" s="27"/>
      <c r="F35" s="27"/>
      <c r="G35" s="27"/>
      <c r="H35" s="27"/>
      <c r="I35" s="27"/>
      <c r="J35" s="27"/>
      <c r="K35" s="27"/>
      <c r="L35" s="27"/>
      <c r="M35" s="27"/>
      <c r="N35" s="27"/>
    </row>
    <row r="36" spans="1:16">
      <c r="A36" s="27" t="s">
        <v>18</v>
      </c>
      <c r="B36" s="27" t="s">
        <v>18</v>
      </c>
      <c r="C36" s="27"/>
      <c r="D36" s="27"/>
      <c r="E36" s="27"/>
      <c r="F36" s="27"/>
      <c r="G36" s="27"/>
      <c r="H36" s="27"/>
      <c r="I36" s="27"/>
      <c r="J36" s="27"/>
      <c r="K36" s="27"/>
      <c r="L36" s="27"/>
      <c r="M36" s="27"/>
      <c r="N36" s="27"/>
    </row>
    <row r="37" spans="1:16" ht="15.6">
      <c r="A37" s="26" t="s">
        <v>19</v>
      </c>
    </row>
    <row r="38" spans="1:16" ht="15.6">
      <c r="A38" s="26" t="s">
        <v>20</v>
      </c>
      <c r="B38" s="26" t="s">
        <v>21</v>
      </c>
      <c r="C38" s="26" t="s">
        <v>18</v>
      </c>
      <c r="D38" s="26" t="s">
        <v>22</v>
      </c>
      <c r="E38" s="26" t="s">
        <v>7</v>
      </c>
      <c r="F38" s="26" t="s">
        <v>13</v>
      </c>
      <c r="G38" s="26" t="s">
        <v>16</v>
      </c>
      <c r="H38" s="26" t="s">
        <v>23</v>
      </c>
      <c r="I38" s="26" t="s">
        <v>24</v>
      </c>
      <c r="J38" s="26" t="s">
        <v>25</v>
      </c>
      <c r="K38" s="26" t="s">
        <v>26</v>
      </c>
      <c r="L38" s="26" t="s">
        <v>27</v>
      </c>
      <c r="M38" s="26" t="s">
        <v>28</v>
      </c>
      <c r="N38" s="26" t="s">
        <v>187</v>
      </c>
    </row>
    <row r="39" spans="1:16">
      <c r="A39" s="27" t="str">
        <f>B29</f>
        <v>taxiway disposal</v>
      </c>
      <c r="B39" s="27">
        <f>B34</f>
        <v>1</v>
      </c>
      <c r="C39" s="27" t="str">
        <f>B36</f>
        <v>unit</v>
      </c>
      <c r="D39" s="27" t="s">
        <v>2</v>
      </c>
      <c r="E39" s="27" t="s">
        <v>29</v>
      </c>
      <c r="F39" s="27" t="str">
        <f>B33</f>
        <v>RER</v>
      </c>
      <c r="G39" s="27" t="s">
        <v>30</v>
      </c>
      <c r="H39" s="27">
        <v>0</v>
      </c>
      <c r="I39" s="27">
        <f>B39</f>
        <v>1</v>
      </c>
      <c r="J39" s="27"/>
      <c r="K39" s="27"/>
      <c r="L39" s="27"/>
      <c r="M39" s="27"/>
      <c r="N39" s="27"/>
    </row>
    <row r="40" spans="1:16">
      <c r="A40" s="27" t="s">
        <v>1526</v>
      </c>
      <c r="B40" s="27">
        <f>O31*0.21</f>
        <v>16531.2</v>
      </c>
      <c r="C40" s="27" t="s">
        <v>42</v>
      </c>
      <c r="D40" s="27" t="s">
        <v>40</v>
      </c>
      <c r="E40" s="27" t="s">
        <v>29</v>
      </c>
      <c r="F40" s="27" t="s">
        <v>35</v>
      </c>
      <c r="G40" s="27" t="s">
        <v>33</v>
      </c>
      <c r="H40" s="27">
        <v>0</v>
      </c>
      <c r="I40" s="27">
        <f t="shared" ref="I40" si="3">B40</f>
        <v>16531.2</v>
      </c>
      <c r="J40" s="27" t="s">
        <v>31</v>
      </c>
      <c r="K40" s="27" t="s">
        <v>31</v>
      </c>
      <c r="L40" s="27" t="s">
        <v>31</v>
      </c>
      <c r="M40" s="27" t="s">
        <v>31</v>
      </c>
      <c r="N40" s="27" t="s">
        <v>1546</v>
      </c>
    </row>
    <row r="41" spans="1:16" s="27" customFormat="1" ht="12.95">
      <c r="A41" s="27" t="s">
        <v>1547</v>
      </c>
      <c r="B41" s="27">
        <f>O31*2195.45*(1+0.02)</f>
        <v>176282340.47999999</v>
      </c>
      <c r="C41" s="27" t="s">
        <v>37</v>
      </c>
      <c r="D41" s="27" t="s">
        <v>40</v>
      </c>
      <c r="E41" s="27" t="s">
        <v>29</v>
      </c>
      <c r="F41" s="27" t="s">
        <v>408</v>
      </c>
      <c r="G41" s="27" t="s">
        <v>33</v>
      </c>
      <c r="H41" s="27">
        <v>0</v>
      </c>
      <c r="I41" s="42">
        <f>ABS(B41)</f>
        <v>176282340.47999999</v>
      </c>
      <c r="J41" s="27" t="s">
        <v>31</v>
      </c>
      <c r="K41" s="27" t="s">
        <v>31</v>
      </c>
      <c r="L41" s="27" t="s">
        <v>31</v>
      </c>
      <c r="M41" s="27" t="s">
        <v>31</v>
      </c>
      <c r="N41" s="27" t="s">
        <v>1548</v>
      </c>
    </row>
    <row r="42" spans="1:16" ht="15.6">
      <c r="A42" s="28" t="s">
        <v>5</v>
      </c>
      <c r="B42" s="28" t="s">
        <v>1542</v>
      </c>
      <c r="C42" s="29"/>
      <c r="D42" s="30"/>
      <c r="E42" s="30"/>
      <c r="F42" s="30"/>
      <c r="G42" s="30"/>
      <c r="H42" s="30"/>
      <c r="I42" s="30"/>
      <c r="J42" s="30"/>
      <c r="K42" s="30"/>
      <c r="L42" s="30"/>
      <c r="M42" s="30"/>
      <c r="N42" s="30"/>
      <c r="O42" s="27"/>
    </row>
    <row r="43" spans="1:16">
      <c r="A43" s="27" t="s">
        <v>7</v>
      </c>
      <c r="B43" s="27" t="s">
        <v>1429</v>
      </c>
      <c r="C43" s="27"/>
      <c r="D43" s="27"/>
      <c r="E43" s="27"/>
      <c r="F43" s="27"/>
      <c r="G43" s="27"/>
      <c r="H43" s="27"/>
      <c r="I43" s="27"/>
      <c r="J43" s="27"/>
      <c r="K43" s="27"/>
      <c r="L43" s="27"/>
      <c r="M43" s="27"/>
      <c r="N43" s="27"/>
      <c r="O43" s="48" t="s">
        <v>1551</v>
      </c>
    </row>
    <row r="44" spans="1:16">
      <c r="A44" s="27" t="s">
        <v>9</v>
      </c>
      <c r="B44" s="27" t="s">
        <v>1552</v>
      </c>
      <c r="C44" s="27"/>
      <c r="D44" s="27"/>
      <c r="E44" s="27"/>
      <c r="F44" s="27"/>
      <c r="G44" s="27"/>
      <c r="H44" s="27"/>
      <c r="I44" s="27"/>
      <c r="J44" s="27"/>
      <c r="K44" s="27"/>
      <c r="L44" s="27"/>
      <c r="M44" s="27"/>
      <c r="N44" s="27"/>
      <c r="O44" s="49">
        <v>99000</v>
      </c>
    </row>
    <row r="45" spans="1:16">
      <c r="A45" s="27" t="s">
        <v>11</v>
      </c>
      <c r="B45" s="27" t="s">
        <v>1545</v>
      </c>
      <c r="C45" s="27"/>
      <c r="D45" s="27"/>
      <c r="E45" s="27"/>
      <c r="F45" s="27"/>
      <c r="G45" s="27"/>
      <c r="H45" s="27"/>
      <c r="I45" s="27"/>
      <c r="J45" s="27"/>
      <c r="K45" s="27"/>
      <c r="L45" s="27"/>
      <c r="M45" s="27"/>
      <c r="N45" s="27"/>
      <c r="O45" s="27"/>
    </row>
    <row r="46" spans="1:16">
      <c r="A46" s="27" t="s">
        <v>13</v>
      </c>
      <c r="B46" s="27" t="s">
        <v>35</v>
      </c>
      <c r="C46" s="27"/>
      <c r="D46" s="27"/>
      <c r="E46" s="27"/>
      <c r="F46" s="27"/>
      <c r="G46" s="27"/>
      <c r="H46" s="27"/>
      <c r="I46" s="27"/>
      <c r="J46" s="27"/>
      <c r="K46" s="27"/>
      <c r="L46" s="27"/>
      <c r="M46" s="27"/>
      <c r="N46" s="27"/>
      <c r="O46" s="27"/>
    </row>
    <row r="47" spans="1:16">
      <c r="A47" s="27" t="s">
        <v>15</v>
      </c>
      <c r="B47" s="37">
        <v>1</v>
      </c>
      <c r="C47" s="27"/>
      <c r="D47" s="27"/>
      <c r="E47" s="27"/>
      <c r="F47" s="27"/>
      <c r="G47" s="27"/>
      <c r="H47" s="27"/>
      <c r="I47" s="27"/>
      <c r="J47" s="27"/>
      <c r="K47" s="27"/>
      <c r="L47" s="27"/>
      <c r="M47" s="27"/>
      <c r="N47" s="27"/>
    </row>
    <row r="48" spans="1:16">
      <c r="A48" s="27" t="s">
        <v>16</v>
      </c>
      <c r="B48" s="27" t="s">
        <v>17</v>
      </c>
      <c r="C48" s="27"/>
      <c r="D48" s="27"/>
      <c r="E48" s="27"/>
      <c r="F48" s="27"/>
      <c r="G48" s="27"/>
      <c r="H48" s="27"/>
      <c r="I48" s="27"/>
      <c r="J48" s="27"/>
      <c r="K48" s="27"/>
      <c r="L48" s="27"/>
      <c r="M48" s="27"/>
      <c r="N48" s="27"/>
    </row>
    <row r="49" spans="1:15">
      <c r="A49" s="27" t="s">
        <v>18</v>
      </c>
      <c r="B49" s="27" t="s">
        <v>18</v>
      </c>
      <c r="C49" s="27"/>
      <c r="D49" s="27"/>
      <c r="E49" s="27"/>
      <c r="F49" s="27"/>
      <c r="G49" s="27"/>
      <c r="H49" s="27"/>
      <c r="I49" s="27"/>
      <c r="J49" s="27"/>
      <c r="K49" s="27"/>
      <c r="L49" s="27"/>
      <c r="M49" s="27"/>
      <c r="N49" s="27"/>
    </row>
    <row r="50" spans="1:15" ht="15.6">
      <c r="A50" s="26" t="s">
        <v>19</v>
      </c>
    </row>
    <row r="51" spans="1:15" ht="15.6">
      <c r="A51" s="26" t="s">
        <v>20</v>
      </c>
      <c r="B51" s="26" t="s">
        <v>21</v>
      </c>
      <c r="C51" s="26" t="s">
        <v>18</v>
      </c>
      <c r="D51" s="26" t="s">
        <v>22</v>
      </c>
      <c r="E51" s="26" t="s">
        <v>7</v>
      </c>
      <c r="F51" s="26" t="s">
        <v>13</v>
      </c>
      <c r="G51" s="26" t="s">
        <v>16</v>
      </c>
      <c r="H51" s="26" t="s">
        <v>23</v>
      </c>
      <c r="I51" s="26" t="s">
        <v>24</v>
      </c>
      <c r="J51" s="26" t="s">
        <v>25</v>
      </c>
      <c r="K51" s="26" t="s">
        <v>26</v>
      </c>
      <c r="L51" s="26" t="s">
        <v>27</v>
      </c>
      <c r="M51" s="26" t="s">
        <v>28</v>
      </c>
      <c r="N51" s="26" t="s">
        <v>187</v>
      </c>
    </row>
    <row r="52" spans="1:15">
      <c r="A52" s="27" t="str">
        <f>B42</f>
        <v>runway disposal</v>
      </c>
      <c r="B52" s="27">
        <f>B47</f>
        <v>1</v>
      </c>
      <c r="C52" s="27" t="str">
        <f>B49</f>
        <v>unit</v>
      </c>
      <c r="D52" s="27" t="s">
        <v>2</v>
      </c>
      <c r="E52" s="27" t="s">
        <v>29</v>
      </c>
      <c r="F52" s="27" t="str">
        <f>B46</f>
        <v>RER</v>
      </c>
      <c r="G52" s="27" t="s">
        <v>30</v>
      </c>
      <c r="H52" s="27">
        <v>0</v>
      </c>
      <c r="I52" s="27">
        <f>B52</f>
        <v>1</v>
      </c>
      <c r="J52" s="27"/>
      <c r="K52" s="27"/>
      <c r="L52" s="27"/>
      <c r="M52" s="27"/>
      <c r="N52" s="27"/>
    </row>
    <row r="53" spans="1:15">
      <c r="A53" s="27" t="s">
        <v>1526</v>
      </c>
      <c r="B53" s="27">
        <f>O44*0.21</f>
        <v>20790</v>
      </c>
      <c r="C53" s="27" t="s">
        <v>42</v>
      </c>
      <c r="D53" s="27" t="s">
        <v>40</v>
      </c>
      <c r="E53" s="27" t="s">
        <v>29</v>
      </c>
      <c r="F53" s="27" t="s">
        <v>35</v>
      </c>
      <c r="G53" s="27" t="s">
        <v>33</v>
      </c>
      <c r="H53" s="27">
        <v>0</v>
      </c>
      <c r="I53" s="27">
        <f t="shared" ref="I53" si="4">B53</f>
        <v>20790</v>
      </c>
      <c r="J53" s="27" t="s">
        <v>31</v>
      </c>
      <c r="K53" s="27" t="s">
        <v>31</v>
      </c>
      <c r="L53" s="27" t="s">
        <v>31</v>
      </c>
      <c r="M53" s="27" t="s">
        <v>31</v>
      </c>
      <c r="N53" s="27" t="s">
        <v>1546</v>
      </c>
    </row>
    <row r="54" spans="1:15">
      <c r="A54" s="27" t="s">
        <v>1547</v>
      </c>
      <c r="B54" s="27">
        <f>O44*2195.45*(1+0.02)</f>
        <v>221696540.99999997</v>
      </c>
      <c r="C54" s="27" t="s">
        <v>37</v>
      </c>
      <c r="D54" s="27" t="s">
        <v>40</v>
      </c>
      <c r="E54" s="27" t="s">
        <v>29</v>
      </c>
      <c r="F54" s="27" t="s">
        <v>408</v>
      </c>
      <c r="G54" s="27" t="s">
        <v>33</v>
      </c>
      <c r="H54" s="27">
        <v>0</v>
      </c>
      <c r="I54" s="42">
        <f>ABS(B54)</f>
        <v>221696540.99999997</v>
      </c>
      <c r="J54" s="27" t="s">
        <v>31</v>
      </c>
      <c r="K54" s="27" t="s">
        <v>31</v>
      </c>
      <c r="L54" s="27" t="s">
        <v>31</v>
      </c>
      <c r="M54" s="27" t="s">
        <v>31</v>
      </c>
      <c r="N54" s="27" t="s">
        <v>1548</v>
      </c>
      <c r="O54" s="27"/>
    </row>
  </sheetData>
  <mergeCells count="1">
    <mergeCell ref="O3:Q3"/>
  </mergeCells>
  <pageMargins left="0.7" right="0.7" top="0.75" bottom="0.75" header="0.3" footer="0.3"/>
  <pageSetup paperSize="9" orientation="portrait" verticalDpi="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FD8DC-4835-4450-9297-86CE88515FA9}">
  <dimension ref="A1:S18"/>
  <sheetViews>
    <sheetView workbookViewId="0">
      <selection activeCell="A2" sqref="A2:XFD3"/>
    </sheetView>
  </sheetViews>
  <sheetFormatPr defaultRowHeight="14.45"/>
  <cols>
    <col min="1" max="1" width="68.7109375" bestFit="1" customWidth="1"/>
    <col min="5" max="5" width="20.42578125" bestFit="1" customWidth="1"/>
  </cols>
  <sheetData>
    <row r="1" spans="1:19">
      <c r="A1" s="22" t="s">
        <v>0</v>
      </c>
      <c r="B1" s="22">
        <v>14</v>
      </c>
      <c r="C1" s="22"/>
      <c r="D1" s="22"/>
      <c r="E1" s="22"/>
      <c r="F1" s="22"/>
      <c r="G1" s="22"/>
      <c r="H1" s="22"/>
      <c r="I1" s="22"/>
      <c r="J1" s="22"/>
      <c r="K1" s="22"/>
      <c r="L1" s="22"/>
      <c r="M1" s="22"/>
      <c r="N1" s="22"/>
      <c r="O1" s="22"/>
      <c r="P1" s="22"/>
      <c r="Q1" s="22"/>
      <c r="R1" s="22"/>
      <c r="S1" s="22"/>
    </row>
    <row r="2" spans="1:19" ht="15.6">
      <c r="A2" s="178" t="s">
        <v>5</v>
      </c>
      <c r="B2" s="178" t="s">
        <v>1553</v>
      </c>
      <c r="C2" s="178"/>
      <c r="D2" s="69"/>
      <c r="E2" s="144"/>
      <c r="F2" s="144"/>
      <c r="G2" s="144"/>
      <c r="H2" s="144"/>
      <c r="I2" s="144"/>
      <c r="J2" s="144"/>
      <c r="K2" s="144"/>
      <c r="L2" s="144"/>
      <c r="M2" s="144"/>
      <c r="N2" s="144"/>
      <c r="O2" s="144"/>
      <c r="P2" s="144"/>
      <c r="Q2" s="144"/>
      <c r="R2" s="144"/>
      <c r="S2" s="144"/>
    </row>
    <row r="3" spans="1:19">
      <c r="A3" s="59" t="s">
        <v>7</v>
      </c>
      <c r="B3" s="59" t="s">
        <v>1554</v>
      </c>
      <c r="C3" s="59"/>
      <c r="D3" s="59"/>
      <c r="E3" s="59"/>
      <c r="F3" s="59"/>
      <c r="G3" s="59"/>
      <c r="H3" s="59"/>
      <c r="I3" s="59"/>
      <c r="J3" s="59"/>
      <c r="K3" s="59"/>
      <c r="L3" s="59"/>
      <c r="M3" s="59"/>
      <c r="N3" s="59"/>
      <c r="O3" s="59"/>
      <c r="P3" s="59"/>
      <c r="Q3" s="59"/>
      <c r="R3" s="59"/>
      <c r="S3" s="59"/>
    </row>
    <row r="4" spans="1:19">
      <c r="A4" s="59" t="s">
        <v>9</v>
      </c>
      <c r="B4" s="179" t="s">
        <v>1555</v>
      </c>
      <c r="C4" s="59"/>
      <c r="D4" s="59"/>
      <c r="E4" s="59"/>
      <c r="F4" s="59"/>
      <c r="G4" s="59"/>
      <c r="H4" s="59"/>
      <c r="I4" s="59"/>
      <c r="J4" s="59"/>
      <c r="K4" s="59"/>
      <c r="L4" s="59"/>
      <c r="M4" s="59"/>
      <c r="N4" s="59"/>
      <c r="O4" s="59"/>
      <c r="P4" s="59"/>
      <c r="Q4" s="59"/>
      <c r="R4" s="59"/>
      <c r="S4" s="59"/>
    </row>
    <row r="5" spans="1:19">
      <c r="A5" s="59" t="s">
        <v>11</v>
      </c>
      <c r="B5" s="59" t="s">
        <v>1556</v>
      </c>
      <c r="C5" s="59"/>
      <c r="D5" s="59"/>
      <c r="E5" s="59"/>
      <c r="F5" s="59"/>
      <c r="G5" s="59"/>
      <c r="H5" s="59"/>
      <c r="I5" s="59"/>
      <c r="J5" s="59"/>
      <c r="K5" s="59"/>
      <c r="L5" s="59"/>
      <c r="M5" s="59"/>
      <c r="N5" s="59"/>
      <c r="O5" s="59"/>
      <c r="P5" s="59"/>
      <c r="Q5" s="59"/>
      <c r="R5" s="59"/>
      <c r="S5" s="59"/>
    </row>
    <row r="6" spans="1:19">
      <c r="A6" s="59" t="s">
        <v>13</v>
      </c>
      <c r="B6" s="59" t="s">
        <v>59</v>
      </c>
      <c r="C6" s="59"/>
      <c r="D6" s="59"/>
      <c r="E6" s="59"/>
      <c r="F6" s="59"/>
      <c r="G6" s="59"/>
      <c r="H6" s="59"/>
      <c r="I6" s="59"/>
      <c r="J6" s="59"/>
      <c r="K6" s="59"/>
      <c r="L6" s="59"/>
      <c r="M6" s="59"/>
      <c r="N6" s="59"/>
      <c r="O6" s="59"/>
      <c r="P6" s="59"/>
      <c r="Q6" s="59"/>
      <c r="R6" s="59"/>
      <c r="S6" s="59"/>
    </row>
    <row r="7" spans="1:19">
      <c r="A7" s="59" t="s">
        <v>15</v>
      </c>
      <c r="B7" s="59">
        <v>1</v>
      </c>
      <c r="C7" s="59"/>
      <c r="D7" s="59"/>
      <c r="E7" s="59"/>
      <c r="F7" s="59"/>
      <c r="G7" s="59"/>
      <c r="H7" s="59"/>
      <c r="I7" s="59"/>
      <c r="J7" s="59"/>
      <c r="K7" s="59"/>
      <c r="L7" s="59"/>
      <c r="M7" s="59"/>
      <c r="N7" s="59"/>
      <c r="O7" s="59"/>
      <c r="P7" s="59"/>
      <c r="Q7" s="59"/>
      <c r="R7" s="59"/>
      <c r="S7" s="59"/>
    </row>
    <row r="8" spans="1:19">
      <c r="A8" s="59" t="s">
        <v>16</v>
      </c>
      <c r="B8" s="59" t="s">
        <v>17</v>
      </c>
      <c r="C8" s="59"/>
      <c r="D8" s="59"/>
      <c r="E8" s="59"/>
      <c r="F8" s="59"/>
      <c r="G8" s="59"/>
      <c r="H8" s="59"/>
      <c r="I8" s="59"/>
      <c r="J8" s="59"/>
      <c r="K8" s="59"/>
      <c r="L8" s="59"/>
      <c r="M8" s="59"/>
      <c r="N8" s="59"/>
      <c r="O8" s="59"/>
      <c r="P8" s="59"/>
      <c r="Q8" s="59"/>
      <c r="R8" s="59"/>
      <c r="S8" s="59"/>
    </row>
    <row r="9" spans="1:19" ht="15.6">
      <c r="A9" s="59" t="s">
        <v>18</v>
      </c>
      <c r="B9" s="180" t="s">
        <v>18</v>
      </c>
      <c r="C9" s="59"/>
      <c r="D9" s="59"/>
      <c r="E9" s="59" t="s">
        <v>235</v>
      </c>
      <c r="F9" s="59"/>
      <c r="G9" s="59"/>
      <c r="H9" s="59"/>
      <c r="I9" s="59"/>
      <c r="J9" s="59"/>
      <c r="K9" s="59"/>
      <c r="L9" s="59"/>
      <c r="M9" s="59"/>
      <c r="N9" s="59"/>
      <c r="O9" s="59"/>
      <c r="P9" s="59"/>
      <c r="Q9" s="59"/>
      <c r="R9" s="59"/>
      <c r="S9" s="59"/>
    </row>
    <row r="10" spans="1:19" ht="15.6">
      <c r="A10" s="181" t="s">
        <v>19</v>
      </c>
      <c r="B10" s="59"/>
      <c r="C10" s="59"/>
      <c r="D10" s="59"/>
      <c r="E10" s="59"/>
      <c r="F10" s="59"/>
      <c r="G10" s="59"/>
      <c r="H10" s="59"/>
      <c r="I10" s="59"/>
      <c r="J10" s="59"/>
      <c r="K10" s="59"/>
      <c r="L10" s="59"/>
      <c r="M10" s="59"/>
      <c r="N10" s="59"/>
      <c r="O10" s="59"/>
      <c r="P10" s="59"/>
      <c r="Q10" s="59"/>
      <c r="R10" s="59"/>
      <c r="S10" s="59"/>
    </row>
    <row r="11" spans="1:19"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c r="Q11" s="59"/>
      <c r="R11" s="59"/>
      <c r="S11" s="59"/>
    </row>
    <row r="12" spans="1:19" ht="15.6">
      <c r="A12" s="180" t="str">
        <f>B2</f>
        <v>Decommissioning of battery ch. station, Gt-bat, Long-term</v>
      </c>
      <c r="B12" s="180">
        <v>1</v>
      </c>
      <c r="C12" s="180"/>
      <c r="D12" s="180" t="s">
        <v>18</v>
      </c>
      <c r="E12" s="59" t="s">
        <v>2</v>
      </c>
      <c r="F12" s="59" t="s">
        <v>1554</v>
      </c>
      <c r="G12" s="180" t="s">
        <v>59</v>
      </c>
      <c r="H12" s="59" t="s">
        <v>30</v>
      </c>
      <c r="I12" s="59">
        <v>0</v>
      </c>
      <c r="J12" s="180" t="s">
        <v>31</v>
      </c>
      <c r="K12" s="180" t="s">
        <v>31</v>
      </c>
      <c r="L12" s="180" t="s">
        <v>31</v>
      </c>
      <c r="M12" s="180" t="s">
        <v>31</v>
      </c>
      <c r="N12" s="180" t="s">
        <v>31</v>
      </c>
      <c r="O12" s="180"/>
      <c r="P12" s="59"/>
      <c r="Q12" s="59"/>
      <c r="R12" s="59"/>
      <c r="S12" s="59"/>
    </row>
    <row r="13" spans="1:19">
      <c r="A13" s="59" t="str">
        <f>converters_b_charging_station!A67</f>
        <v>treatment of power electronics,Battery charging station, GT-bat, Long-term</v>
      </c>
      <c r="B13" s="59">
        <v>1</v>
      </c>
      <c r="C13" s="59"/>
      <c r="D13" s="59" t="s">
        <v>18</v>
      </c>
      <c r="E13" s="59" t="s">
        <v>2</v>
      </c>
      <c r="F13" s="59" t="s">
        <v>1557</v>
      </c>
      <c r="G13" s="59" t="s">
        <v>59</v>
      </c>
      <c r="H13" s="59" t="s">
        <v>33</v>
      </c>
      <c r="I13" s="59">
        <v>0</v>
      </c>
      <c r="J13" s="59" t="s">
        <v>31</v>
      </c>
      <c r="K13" s="59" t="s">
        <v>31</v>
      </c>
      <c r="L13" s="59" t="s">
        <v>31</v>
      </c>
      <c r="M13" s="59" t="s">
        <v>31</v>
      </c>
      <c r="N13" s="59" t="s">
        <v>31</v>
      </c>
      <c r="O13" s="59"/>
      <c r="P13" s="59"/>
      <c r="Q13" s="59"/>
      <c r="R13" s="59"/>
      <c r="S13" s="59"/>
    </row>
    <row r="14" spans="1:19">
      <c r="A14" s="59" t="str">
        <f>rests_b_charging_station!B2</f>
        <v>treatment of alu,Battery charging station, GT-bat, Long-term</v>
      </c>
      <c r="B14" s="59">
        <v>1</v>
      </c>
      <c r="C14" s="59"/>
      <c r="D14" s="59" t="s">
        <v>18</v>
      </c>
      <c r="E14" s="59" t="s">
        <v>2</v>
      </c>
      <c r="F14" s="59" t="s">
        <v>1557</v>
      </c>
      <c r="G14" s="59" t="s">
        <v>59</v>
      </c>
      <c r="H14" s="59" t="s">
        <v>33</v>
      </c>
      <c r="I14" s="59">
        <v>0</v>
      </c>
      <c r="J14" s="59" t="s">
        <v>31</v>
      </c>
      <c r="K14" s="59" t="s">
        <v>31</v>
      </c>
      <c r="L14" s="59" t="s">
        <v>31</v>
      </c>
      <c r="M14" s="59" t="s">
        <v>31</v>
      </c>
      <c r="N14" s="59" t="s">
        <v>31</v>
      </c>
    </row>
    <row r="15" spans="1:19">
      <c r="A15" t="str">
        <f>rests_b_charging_station!B17</f>
        <v>treatment of steel,Battery charging station, Gt-bat, Long-term</v>
      </c>
      <c r="B15" s="59">
        <v>1</v>
      </c>
      <c r="C15" s="59"/>
      <c r="D15" s="59" t="s">
        <v>18</v>
      </c>
      <c r="E15" s="59" t="s">
        <v>2</v>
      </c>
      <c r="F15" s="59" t="s">
        <v>1557</v>
      </c>
      <c r="G15" s="59" t="s">
        <v>59</v>
      </c>
      <c r="H15" s="59" t="s">
        <v>33</v>
      </c>
      <c r="I15" s="59">
        <v>0</v>
      </c>
      <c r="J15" s="59" t="s">
        <v>31</v>
      </c>
      <c r="K15" s="59" t="s">
        <v>31</v>
      </c>
      <c r="L15" s="59" t="s">
        <v>31</v>
      </c>
      <c r="M15" s="59" t="s">
        <v>31</v>
      </c>
      <c r="N15" s="59" t="s">
        <v>31</v>
      </c>
    </row>
    <row r="16" spans="1:19">
      <c r="A16" t="str">
        <f>rests_b_charging_station!B31</f>
        <v>treatment of ferrite ,Battery charging station, Gt-bat, Long-term</v>
      </c>
      <c r="B16" s="59">
        <v>1</v>
      </c>
      <c r="C16" s="59"/>
      <c r="D16" s="59" t="s">
        <v>18</v>
      </c>
      <c r="E16" s="59" t="s">
        <v>2</v>
      </c>
      <c r="F16" s="59" t="s">
        <v>1557</v>
      </c>
      <c r="G16" s="59" t="s">
        <v>59</v>
      </c>
      <c r="H16" s="59" t="s">
        <v>33</v>
      </c>
      <c r="I16" s="59">
        <v>0</v>
      </c>
      <c r="J16" s="59" t="s">
        <v>31</v>
      </c>
      <c r="K16" s="59" t="s">
        <v>31</v>
      </c>
      <c r="L16" s="59" t="s">
        <v>31</v>
      </c>
      <c r="M16" s="59" t="s">
        <v>31</v>
      </c>
      <c r="N16" s="59" t="s">
        <v>31</v>
      </c>
    </row>
    <row r="17" spans="1:14">
      <c r="A17" t="str">
        <f>rests_b_charging_station!B45</f>
        <v>treatment of electronic components and cables ,Battery charging station, Gt-bat, Long-term</v>
      </c>
      <c r="B17" s="59">
        <v>1</v>
      </c>
      <c r="C17" s="59"/>
      <c r="D17" s="59" t="s">
        <v>18</v>
      </c>
      <c r="E17" s="59" t="s">
        <v>2</v>
      </c>
      <c r="F17" s="59" t="s">
        <v>1557</v>
      </c>
      <c r="G17" s="59" t="s">
        <v>59</v>
      </c>
      <c r="H17" s="59" t="s">
        <v>33</v>
      </c>
      <c r="I17" s="59">
        <v>0</v>
      </c>
      <c r="J17" s="59" t="s">
        <v>31</v>
      </c>
      <c r="K17" s="59" t="s">
        <v>31</v>
      </c>
      <c r="L17" s="59" t="s">
        <v>31</v>
      </c>
      <c r="M17" s="59" t="s">
        <v>31</v>
      </c>
      <c r="N17" s="59" t="s">
        <v>31</v>
      </c>
    </row>
    <row r="18" spans="1:14">
      <c r="A18" t="str">
        <f>rests_b_charging_station!B58</f>
        <v>treatment of remaining components,Battery charging station, GT-bat, Long-term</v>
      </c>
      <c r="B18" s="59">
        <v>1</v>
      </c>
      <c r="C18" s="59"/>
      <c r="D18" s="59" t="s">
        <v>18</v>
      </c>
      <c r="E18" s="59" t="s">
        <v>2</v>
      </c>
      <c r="F18" s="59" t="s">
        <v>1557</v>
      </c>
      <c r="G18" s="59" t="s">
        <v>59</v>
      </c>
      <c r="H18" s="59" t="s">
        <v>33</v>
      </c>
      <c r="I18" s="59">
        <v>0</v>
      </c>
      <c r="J18" s="59" t="s">
        <v>31</v>
      </c>
      <c r="K18" s="59" t="s">
        <v>31</v>
      </c>
      <c r="L18" s="59" t="s">
        <v>31</v>
      </c>
      <c r="M18" s="59" t="s">
        <v>31</v>
      </c>
      <c r="N18" s="59" t="s">
        <v>31</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933B4-E49B-49CD-AFC2-E19AC6EDBB7D}">
  <dimension ref="A1:P72"/>
  <sheetViews>
    <sheetView topLeftCell="A40" zoomScale="85" zoomScaleNormal="85" workbookViewId="0">
      <selection activeCell="B5" sqref="B5"/>
    </sheetView>
  </sheetViews>
  <sheetFormatPr defaultRowHeight="14.4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185" customFormat="1" ht="15.6">
      <c r="A2" s="182" t="s">
        <v>5</v>
      </c>
      <c r="B2" s="182" t="s">
        <v>1558</v>
      </c>
      <c r="C2" s="182"/>
      <c r="D2" s="183"/>
      <c r="E2" s="184"/>
      <c r="F2" s="184"/>
      <c r="G2" s="184"/>
      <c r="H2" s="184"/>
      <c r="I2" s="184"/>
      <c r="J2" s="184"/>
      <c r="K2" s="184"/>
      <c r="L2" s="184"/>
      <c r="M2" s="184"/>
      <c r="N2" s="184"/>
      <c r="O2" s="184"/>
      <c r="P2" s="184"/>
    </row>
    <row r="3" spans="1:16">
      <c r="A3" s="59" t="s">
        <v>7</v>
      </c>
      <c r="B3" s="59" t="s">
        <v>1559</v>
      </c>
      <c r="C3" s="59"/>
      <c r="D3" s="59"/>
      <c r="E3" s="59"/>
      <c r="F3" s="59"/>
      <c r="G3" s="59"/>
      <c r="H3" s="59"/>
      <c r="I3" s="59"/>
      <c r="J3" s="59"/>
      <c r="K3" s="59"/>
      <c r="L3" s="59"/>
      <c r="M3" s="59"/>
      <c r="N3" s="59"/>
      <c r="O3" s="59"/>
      <c r="P3" s="59"/>
    </row>
    <row r="4" spans="1:16">
      <c r="A4" s="59" t="s">
        <v>9</v>
      </c>
      <c r="B4" s="186" t="s">
        <v>1560</v>
      </c>
      <c r="C4" s="59"/>
      <c r="D4" s="59"/>
      <c r="E4" s="59"/>
      <c r="F4" s="59"/>
      <c r="G4" s="59"/>
      <c r="H4" s="59"/>
      <c r="I4" s="59"/>
      <c r="J4" s="59"/>
      <c r="K4" s="59"/>
      <c r="L4" s="59"/>
      <c r="M4" s="59"/>
      <c r="N4" s="59"/>
      <c r="O4" s="59"/>
      <c r="P4" s="59"/>
    </row>
    <row r="5" spans="1:16">
      <c r="A5" s="59" t="s">
        <v>11</v>
      </c>
      <c r="B5" s="59" t="s">
        <v>1561</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88"/>
      <c r="P7" s="59"/>
    </row>
    <row r="8" spans="1:16">
      <c r="A8" s="59" t="s">
        <v>16</v>
      </c>
      <c r="B8" s="59" t="s">
        <v>17</v>
      </c>
      <c r="C8" s="59"/>
      <c r="D8" s="59"/>
      <c r="E8" s="59"/>
      <c r="F8" s="59"/>
      <c r="G8" s="59"/>
      <c r="H8" s="59"/>
      <c r="I8" s="59"/>
      <c r="J8" s="59"/>
      <c r="K8" s="59"/>
      <c r="L8" s="59"/>
      <c r="M8" s="59"/>
      <c r="N8" s="59"/>
      <c r="O8" s="59"/>
      <c r="P8" s="59"/>
    </row>
    <row r="9" spans="1:16">
      <c r="A9" s="59" t="s">
        <v>18</v>
      </c>
      <c r="B9" s="187" t="s">
        <v>18</v>
      </c>
      <c r="C9" s="59"/>
      <c r="D9" s="59"/>
      <c r="E9" s="59" t="s">
        <v>235</v>
      </c>
      <c r="F9" s="59"/>
      <c r="G9" s="59"/>
      <c r="H9" s="59"/>
      <c r="I9" s="59"/>
      <c r="J9" s="59"/>
      <c r="K9" s="59"/>
      <c r="L9" s="59"/>
      <c r="M9" s="59"/>
      <c r="N9" s="59"/>
      <c r="O9" s="59"/>
      <c r="P9" s="59"/>
    </row>
    <row r="10" spans="1:16" ht="15.6">
      <c r="A10" s="181" t="s">
        <v>19</v>
      </c>
      <c r="B10" s="59"/>
      <c r="C10" s="59"/>
      <c r="D10" s="59"/>
      <c r="E10" s="59"/>
      <c r="F10" s="59"/>
      <c r="G10" s="59"/>
      <c r="H10" s="59"/>
      <c r="I10" s="59"/>
      <c r="J10" s="59"/>
      <c r="K10" s="59"/>
      <c r="L10" s="59"/>
      <c r="M10" s="59"/>
      <c r="N10" s="59"/>
      <c r="O10" s="59"/>
      <c r="P10" s="59"/>
    </row>
    <row r="11" spans="1:16"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6">
      <c r="A12" s="180" t="s">
        <v>1558</v>
      </c>
      <c r="B12" s="180">
        <v>1</v>
      </c>
      <c r="C12" s="180"/>
      <c r="D12" s="180" t="s">
        <v>18</v>
      </c>
      <c r="E12" s="59" t="s">
        <v>2</v>
      </c>
      <c r="F12" s="59" t="s">
        <v>1557</v>
      </c>
      <c r="G12" s="180" t="s">
        <v>59</v>
      </c>
      <c r="H12" s="59" t="s">
        <v>30</v>
      </c>
      <c r="I12" s="59">
        <v>0</v>
      </c>
      <c r="J12" s="180" t="s">
        <v>31</v>
      </c>
      <c r="K12" s="180" t="s">
        <v>31</v>
      </c>
      <c r="L12" s="180" t="s">
        <v>31</v>
      </c>
      <c r="M12" s="180" t="s">
        <v>31</v>
      </c>
      <c r="N12" s="180" t="s">
        <v>31</v>
      </c>
      <c r="O12" s="59"/>
      <c r="P12" s="59"/>
    </row>
    <row r="13" spans="1:16" ht="15.6">
      <c r="A13" t="s">
        <v>395</v>
      </c>
      <c r="B13" s="23">
        <f>-1.0366</f>
        <v>-1.0366</v>
      </c>
      <c r="C13" s="180"/>
      <c r="D13" s="180" t="s">
        <v>37</v>
      </c>
      <c r="E13" s="88" t="s">
        <v>40</v>
      </c>
      <c r="F13" s="59" t="s">
        <v>1557</v>
      </c>
      <c r="G13" s="180" t="s">
        <v>82</v>
      </c>
      <c r="H13" s="59" t="s">
        <v>33</v>
      </c>
      <c r="I13" s="59">
        <v>0</v>
      </c>
      <c r="J13" s="180" t="s">
        <v>31</v>
      </c>
      <c r="K13" s="180" t="s">
        <v>31</v>
      </c>
      <c r="L13" s="180" t="s">
        <v>31</v>
      </c>
      <c r="M13" s="180" t="s">
        <v>31</v>
      </c>
      <c r="N13" s="180" t="s">
        <v>31</v>
      </c>
      <c r="O13" s="59" t="s">
        <v>1562</v>
      </c>
      <c r="P13" s="59" t="s">
        <v>1563</v>
      </c>
    </row>
    <row r="14" spans="1:16" s="185" customFormat="1" ht="15.6">
      <c r="A14" s="182" t="s">
        <v>5</v>
      </c>
      <c r="B14" s="182" t="s">
        <v>1564</v>
      </c>
      <c r="C14" s="182"/>
      <c r="D14" s="183"/>
      <c r="E14" s="184"/>
      <c r="F14" s="184"/>
      <c r="G14" s="184"/>
      <c r="H14" s="184"/>
      <c r="I14" s="184"/>
      <c r="J14" s="184"/>
      <c r="K14" s="184"/>
      <c r="L14" s="184"/>
      <c r="M14" s="184"/>
      <c r="N14" s="184"/>
      <c r="O14" s="184"/>
      <c r="P14" s="184"/>
    </row>
    <row r="15" spans="1:16">
      <c r="A15" s="59" t="s">
        <v>7</v>
      </c>
      <c r="B15" s="59" t="s">
        <v>1559</v>
      </c>
      <c r="C15" s="59"/>
      <c r="D15" s="59"/>
      <c r="E15" s="59"/>
      <c r="F15" s="59"/>
      <c r="G15" s="59"/>
      <c r="H15" s="59"/>
      <c r="I15" s="59"/>
      <c r="J15" s="59"/>
      <c r="K15" s="59"/>
      <c r="L15" s="59"/>
      <c r="M15" s="59"/>
      <c r="N15" s="59"/>
      <c r="O15" s="59"/>
      <c r="P15" s="59"/>
    </row>
    <row r="16" spans="1:16">
      <c r="A16" s="59" t="s">
        <v>9</v>
      </c>
      <c r="B16" s="186" t="s">
        <v>1565</v>
      </c>
      <c r="C16" s="59"/>
      <c r="D16" s="59"/>
      <c r="E16" s="59"/>
      <c r="F16" s="59"/>
      <c r="G16" s="59"/>
      <c r="H16" s="59"/>
      <c r="I16" s="59"/>
      <c r="J16" s="59"/>
      <c r="K16" s="59"/>
      <c r="L16" s="59"/>
      <c r="M16" s="59"/>
      <c r="N16" s="59"/>
      <c r="O16" s="59"/>
      <c r="P16" s="59"/>
    </row>
    <row r="17" spans="1:16">
      <c r="A17" s="59" t="s">
        <v>11</v>
      </c>
      <c r="B17" s="59" t="s">
        <v>1566</v>
      </c>
      <c r="C17" s="59"/>
      <c r="D17" s="59"/>
      <c r="E17" s="59"/>
      <c r="F17" s="59"/>
      <c r="G17" s="59"/>
      <c r="H17" s="59"/>
      <c r="I17" s="59"/>
      <c r="J17" s="59"/>
      <c r="K17" s="59"/>
      <c r="L17" s="59"/>
      <c r="M17" s="59"/>
      <c r="N17" s="59"/>
      <c r="O17" s="59"/>
      <c r="P17" s="59"/>
    </row>
    <row r="18" spans="1:16">
      <c r="A18" s="59" t="s">
        <v>13</v>
      </c>
      <c r="B18" s="59" t="s">
        <v>59</v>
      </c>
      <c r="C18" s="59"/>
      <c r="D18" s="59"/>
      <c r="E18" s="59"/>
      <c r="F18" s="59"/>
      <c r="G18" s="59"/>
      <c r="H18" s="59"/>
      <c r="I18" s="59"/>
      <c r="J18" s="59"/>
      <c r="K18" s="59"/>
      <c r="L18" s="59"/>
      <c r="M18" s="59"/>
      <c r="N18" s="59"/>
      <c r="O18" s="59"/>
      <c r="P18" s="59"/>
    </row>
    <row r="19" spans="1:16">
      <c r="A19" s="59" t="s">
        <v>15</v>
      </c>
      <c r="B19" s="59">
        <v>1</v>
      </c>
      <c r="C19" s="59"/>
      <c r="D19" s="59"/>
      <c r="E19" s="59"/>
      <c r="F19" s="59"/>
      <c r="G19" s="59"/>
      <c r="H19" s="59"/>
      <c r="I19" s="59"/>
      <c r="J19" s="59"/>
      <c r="K19" s="59"/>
      <c r="L19" s="59"/>
      <c r="M19" s="59"/>
      <c r="N19" s="59"/>
      <c r="O19" s="59"/>
      <c r="P19" s="59"/>
    </row>
    <row r="20" spans="1:16">
      <c r="A20" s="59" t="s">
        <v>16</v>
      </c>
      <c r="B20" s="59" t="s">
        <v>17</v>
      </c>
      <c r="C20" s="59"/>
      <c r="D20" s="59"/>
      <c r="E20" s="59"/>
      <c r="F20" s="59"/>
      <c r="G20" s="59"/>
      <c r="H20" s="59"/>
      <c r="I20" s="59"/>
      <c r="J20" s="59"/>
      <c r="K20" s="59"/>
      <c r="L20" s="59"/>
      <c r="M20" s="59"/>
      <c r="N20" s="59"/>
      <c r="O20" s="59"/>
      <c r="P20" s="59"/>
    </row>
    <row r="21" spans="1:16">
      <c r="A21" s="59" t="s">
        <v>18</v>
      </c>
      <c r="B21" s="59" t="s">
        <v>18</v>
      </c>
      <c r="C21" s="59"/>
      <c r="D21" s="59"/>
      <c r="E21" s="59" t="s">
        <v>235</v>
      </c>
      <c r="F21" s="59"/>
      <c r="G21" s="59"/>
      <c r="H21" s="59"/>
      <c r="I21" s="59"/>
      <c r="J21" s="59"/>
      <c r="K21" s="59"/>
      <c r="L21" s="59"/>
      <c r="M21" s="59"/>
      <c r="N21" s="59"/>
      <c r="O21" s="59"/>
      <c r="P21" s="59"/>
    </row>
    <row r="22" spans="1:16" ht="15.6">
      <c r="A22" s="181" t="s">
        <v>19</v>
      </c>
      <c r="B22" s="59"/>
      <c r="C22" s="59"/>
      <c r="D22" s="59"/>
      <c r="E22" s="59"/>
      <c r="F22" s="59"/>
      <c r="G22" s="59"/>
      <c r="H22" s="59"/>
      <c r="I22" s="59"/>
      <c r="J22" s="59"/>
      <c r="K22" s="59"/>
      <c r="L22" s="59"/>
      <c r="M22" s="59"/>
      <c r="N22" s="59"/>
      <c r="O22" s="59"/>
      <c r="P22" s="59"/>
    </row>
    <row r="23" spans="1:16" ht="15.6">
      <c r="A23" s="181" t="s">
        <v>20</v>
      </c>
      <c r="B23" s="181" t="s">
        <v>21</v>
      </c>
      <c r="C23" s="181" t="s">
        <v>217</v>
      </c>
      <c r="D23" s="181" t="s">
        <v>18</v>
      </c>
      <c r="E23" s="181" t="s">
        <v>22</v>
      </c>
      <c r="F23" s="181" t="s">
        <v>7</v>
      </c>
      <c r="G23" s="181" t="s">
        <v>13</v>
      </c>
      <c r="H23" s="181" t="s">
        <v>16</v>
      </c>
      <c r="I23" s="181" t="s">
        <v>23</v>
      </c>
      <c r="J23" s="181" t="s">
        <v>24</v>
      </c>
      <c r="K23" s="181" t="s">
        <v>25</v>
      </c>
      <c r="L23" s="181" t="s">
        <v>26</v>
      </c>
      <c r="M23" s="181" t="s">
        <v>27</v>
      </c>
      <c r="N23" s="181" t="s">
        <v>28</v>
      </c>
      <c r="O23" s="181" t="s">
        <v>11</v>
      </c>
      <c r="P23" s="181" t="s">
        <v>702</v>
      </c>
    </row>
    <row r="24" spans="1:16" ht="15.6">
      <c r="A24" s="180" t="s">
        <v>1564</v>
      </c>
      <c r="B24" s="180">
        <v>1</v>
      </c>
      <c r="C24" s="180"/>
      <c r="D24" s="180" t="s">
        <v>18</v>
      </c>
      <c r="E24" s="59" t="s">
        <v>2</v>
      </c>
      <c r="F24" s="59" t="s">
        <v>1557</v>
      </c>
      <c r="G24" s="180" t="s">
        <v>59</v>
      </c>
      <c r="H24" s="59" t="s">
        <v>30</v>
      </c>
      <c r="I24" s="59">
        <v>0</v>
      </c>
      <c r="J24" s="180" t="s">
        <v>31</v>
      </c>
      <c r="K24" s="180" t="s">
        <v>31</v>
      </c>
      <c r="L24" s="180" t="s">
        <v>31</v>
      </c>
      <c r="M24" s="180" t="s">
        <v>31</v>
      </c>
      <c r="N24" s="180" t="s">
        <v>31</v>
      </c>
      <c r="O24" s="59" t="s">
        <v>1567</v>
      </c>
      <c r="P24" s="59"/>
    </row>
    <row r="25" spans="1:16" ht="15.6">
      <c r="A25" t="s">
        <v>263</v>
      </c>
      <c r="B25" s="23">
        <v>13.496700000000001</v>
      </c>
      <c r="C25" s="180"/>
      <c r="D25" s="180" t="s">
        <v>37</v>
      </c>
      <c r="E25" s="37" t="s">
        <v>40</v>
      </c>
      <c r="F25" s="59" t="s">
        <v>1557</v>
      </c>
      <c r="G25" t="s">
        <v>82</v>
      </c>
      <c r="H25" s="59" t="s">
        <v>33</v>
      </c>
      <c r="I25" s="59">
        <v>0</v>
      </c>
      <c r="J25" s="180" t="s">
        <v>31</v>
      </c>
      <c r="K25" s="180" t="s">
        <v>31</v>
      </c>
      <c r="L25" s="180" t="s">
        <v>31</v>
      </c>
      <c r="M25" s="180" t="s">
        <v>31</v>
      </c>
      <c r="N25" s="180" t="s">
        <v>31</v>
      </c>
      <c r="O25" s="59"/>
      <c r="P25" s="59"/>
    </row>
    <row r="26" spans="1:16" ht="15.6">
      <c r="A26" t="s">
        <v>265</v>
      </c>
      <c r="B26" s="23">
        <v>13.496700000000001</v>
      </c>
      <c r="C26" s="22" t="s">
        <v>266</v>
      </c>
      <c r="D26" t="s">
        <v>37</v>
      </c>
      <c r="E26" s="188" t="s">
        <v>40</v>
      </c>
      <c r="F26" s="59" t="s">
        <v>1557</v>
      </c>
      <c r="G26" t="s">
        <v>82</v>
      </c>
      <c r="H26" s="59" t="s">
        <v>33</v>
      </c>
      <c r="I26" s="59">
        <v>0</v>
      </c>
      <c r="J26" s="180" t="s">
        <v>31</v>
      </c>
      <c r="K26" s="180" t="s">
        <v>31</v>
      </c>
      <c r="L26" s="180" t="s">
        <v>31</v>
      </c>
      <c r="M26" s="180" t="s">
        <v>31</v>
      </c>
      <c r="N26" s="180" t="s">
        <v>31</v>
      </c>
      <c r="O26" t="s">
        <v>401</v>
      </c>
    </row>
    <row r="27" spans="1:16" ht="15.6">
      <c r="A27" t="s">
        <v>347</v>
      </c>
      <c r="B27" s="23">
        <f>0.9</f>
        <v>0.9</v>
      </c>
      <c r="D27" t="s">
        <v>37</v>
      </c>
      <c r="E27" s="188" t="s">
        <v>40</v>
      </c>
      <c r="F27" s="59" t="s">
        <v>1557</v>
      </c>
      <c r="G27" t="s">
        <v>59</v>
      </c>
      <c r="H27" s="59" t="s">
        <v>136</v>
      </c>
      <c r="I27" s="59">
        <v>0</v>
      </c>
      <c r="J27" s="180" t="s">
        <v>31</v>
      </c>
      <c r="K27" s="180" t="s">
        <v>31</v>
      </c>
      <c r="L27" s="180" t="s">
        <v>31</v>
      </c>
      <c r="M27" s="180" t="s">
        <v>31</v>
      </c>
      <c r="N27" s="180" t="s">
        <v>31</v>
      </c>
      <c r="O27" s="59" t="s">
        <v>1373</v>
      </c>
    </row>
    <row r="28" spans="1:16" ht="15.6">
      <c r="A28" t="s">
        <v>442</v>
      </c>
      <c r="B28">
        <v>9.4209999999999994</v>
      </c>
      <c r="C28" t="s">
        <v>443</v>
      </c>
      <c r="D28" t="s">
        <v>37</v>
      </c>
      <c r="E28" s="188" t="s">
        <v>40</v>
      </c>
      <c r="F28" s="59" t="s">
        <v>1557</v>
      </c>
      <c r="G28" t="s">
        <v>82</v>
      </c>
      <c r="H28" t="s">
        <v>33</v>
      </c>
      <c r="I28" s="59">
        <v>0</v>
      </c>
      <c r="J28" s="180" t="s">
        <v>31</v>
      </c>
      <c r="K28" s="180" t="s">
        <v>31</v>
      </c>
      <c r="L28" s="180" t="s">
        <v>31</v>
      </c>
      <c r="M28" s="180" t="s">
        <v>31</v>
      </c>
      <c r="N28" s="180" t="s">
        <v>31</v>
      </c>
    </row>
    <row r="29" spans="1:16" ht="15.6">
      <c r="A29" t="s">
        <v>1372</v>
      </c>
      <c r="B29">
        <f>0.9*B28</f>
        <v>8.4788999999999994</v>
      </c>
      <c r="D29" t="s">
        <v>37</v>
      </c>
      <c r="E29" s="188" t="s">
        <v>40</v>
      </c>
      <c r="F29" s="59" t="s">
        <v>1557</v>
      </c>
      <c r="G29" t="s">
        <v>59</v>
      </c>
      <c r="H29" t="s">
        <v>136</v>
      </c>
      <c r="I29" s="59">
        <v>0</v>
      </c>
      <c r="J29" s="180" t="s">
        <v>31</v>
      </c>
      <c r="K29" s="180" t="s">
        <v>31</v>
      </c>
      <c r="L29" s="180" t="s">
        <v>31</v>
      </c>
      <c r="M29" s="180" t="s">
        <v>31</v>
      </c>
      <c r="N29" s="180" t="s">
        <v>31</v>
      </c>
      <c r="O29" s="59" t="s">
        <v>1373</v>
      </c>
    </row>
    <row r="30" spans="1:16" ht="16.5" customHeight="1">
      <c r="A30" t="s">
        <v>403</v>
      </c>
      <c r="B30" s="23">
        <f>-((B28-B29)+(B26-B27)+3.0462)</f>
        <v>-16.585000000000001</v>
      </c>
      <c r="D30" t="s">
        <v>37</v>
      </c>
      <c r="E30" s="88" t="s">
        <v>40</v>
      </c>
      <c r="F30" s="59" t="s">
        <v>1557</v>
      </c>
      <c r="G30" t="s">
        <v>59</v>
      </c>
      <c r="H30" t="s">
        <v>33</v>
      </c>
      <c r="I30">
        <v>0</v>
      </c>
      <c r="J30" t="s">
        <v>31</v>
      </c>
      <c r="K30" t="s">
        <v>31</v>
      </c>
      <c r="L30" t="s">
        <v>31</v>
      </c>
      <c r="M30" t="s">
        <v>31</v>
      </c>
      <c r="N30" t="s">
        <v>31</v>
      </c>
      <c r="O30" s="17" t="s">
        <v>1568</v>
      </c>
    </row>
    <row r="31" spans="1:16" s="185" customFormat="1" ht="15.6">
      <c r="A31" s="182" t="s">
        <v>5</v>
      </c>
      <c r="B31" s="182" t="s">
        <v>1569</v>
      </c>
      <c r="C31" s="182"/>
      <c r="D31" s="183"/>
      <c r="E31" s="184"/>
      <c r="F31" s="184"/>
      <c r="G31" s="184"/>
      <c r="H31" s="184"/>
      <c r="I31" s="184"/>
      <c r="J31" s="184"/>
      <c r="K31" s="184"/>
      <c r="L31" s="184"/>
      <c r="M31" s="184"/>
      <c r="N31" s="184"/>
      <c r="O31" s="184"/>
      <c r="P31" s="184"/>
    </row>
    <row r="32" spans="1:16">
      <c r="A32" s="59" t="s">
        <v>7</v>
      </c>
      <c r="B32" s="59" t="s">
        <v>1559</v>
      </c>
      <c r="C32" s="59"/>
      <c r="D32" s="59"/>
      <c r="E32" s="59"/>
      <c r="F32" s="59"/>
      <c r="G32" s="59"/>
      <c r="H32" s="59"/>
      <c r="I32" s="59"/>
      <c r="J32" s="59"/>
      <c r="K32" s="59"/>
      <c r="L32" s="59"/>
      <c r="M32" s="59"/>
      <c r="N32" s="59"/>
      <c r="O32" s="59"/>
      <c r="P32" s="59"/>
    </row>
    <row r="33" spans="1:16">
      <c r="A33" s="59" t="s">
        <v>9</v>
      </c>
      <c r="B33" s="186" t="s">
        <v>1570</v>
      </c>
      <c r="C33" s="59"/>
      <c r="D33" s="59"/>
      <c r="E33" s="59"/>
      <c r="F33" s="59"/>
      <c r="G33" s="59"/>
      <c r="H33" s="59"/>
      <c r="I33" s="59"/>
      <c r="J33" s="59"/>
      <c r="K33" s="59"/>
      <c r="L33" s="59"/>
      <c r="M33" s="59"/>
      <c r="N33" s="59"/>
      <c r="O33" s="59"/>
      <c r="P33" s="59"/>
    </row>
    <row r="34" spans="1:16">
      <c r="A34" s="59" t="s">
        <v>11</v>
      </c>
      <c r="B34" s="59" t="s">
        <v>1571</v>
      </c>
      <c r="C34" s="59"/>
      <c r="D34" s="59"/>
      <c r="E34" s="59"/>
      <c r="F34" s="59"/>
      <c r="G34" s="59"/>
      <c r="H34" s="59"/>
      <c r="I34" s="59"/>
      <c r="J34" s="59"/>
      <c r="K34" s="59"/>
      <c r="L34" s="59"/>
      <c r="M34" s="59"/>
      <c r="N34" s="59"/>
      <c r="O34" s="59"/>
      <c r="P34" s="59"/>
    </row>
    <row r="35" spans="1:16">
      <c r="A35" s="59" t="s">
        <v>13</v>
      </c>
      <c r="B35" s="59" t="s">
        <v>59</v>
      </c>
      <c r="C35" s="59"/>
      <c r="D35" s="59"/>
      <c r="E35" s="59"/>
      <c r="F35" s="59"/>
      <c r="G35" s="59"/>
      <c r="H35" s="59"/>
      <c r="I35" s="59"/>
      <c r="J35" s="59"/>
      <c r="K35" s="59"/>
      <c r="L35" s="59"/>
      <c r="M35" s="59"/>
      <c r="N35" s="59"/>
      <c r="O35" s="59"/>
      <c r="P35" s="59"/>
    </row>
    <row r="36" spans="1:16">
      <c r="A36" s="59" t="s">
        <v>15</v>
      </c>
      <c r="B36" s="59">
        <v>1</v>
      </c>
      <c r="C36" s="59"/>
      <c r="D36" s="59"/>
      <c r="E36" s="59"/>
      <c r="F36" s="59"/>
      <c r="G36" s="59"/>
      <c r="H36" s="59"/>
      <c r="I36" s="59"/>
      <c r="J36" s="59"/>
      <c r="K36" s="59"/>
      <c r="L36" s="59"/>
      <c r="M36" s="59"/>
      <c r="N36" s="59"/>
      <c r="O36" s="59"/>
      <c r="P36" s="59"/>
    </row>
    <row r="37" spans="1:16">
      <c r="A37" s="59" t="s">
        <v>16</v>
      </c>
      <c r="B37" s="59" t="s">
        <v>17</v>
      </c>
      <c r="C37" s="59"/>
      <c r="D37" s="59"/>
      <c r="E37" s="59"/>
      <c r="F37" s="59"/>
      <c r="G37" s="59"/>
      <c r="H37" s="59"/>
      <c r="I37" s="59"/>
      <c r="J37" s="59"/>
      <c r="K37" s="59"/>
      <c r="L37" s="59"/>
      <c r="M37" s="59"/>
      <c r="N37" s="59"/>
      <c r="O37" s="59"/>
      <c r="P37" s="59"/>
    </row>
    <row r="38" spans="1:16">
      <c r="A38" s="59" t="s">
        <v>18</v>
      </c>
      <c r="B38" s="59" t="s">
        <v>18</v>
      </c>
      <c r="C38" s="59"/>
      <c r="D38" s="59"/>
      <c r="E38" s="59" t="s">
        <v>235</v>
      </c>
      <c r="F38" s="59"/>
      <c r="G38" s="59"/>
      <c r="H38" s="59"/>
      <c r="I38" s="59"/>
      <c r="J38" s="59"/>
      <c r="K38" s="59"/>
      <c r="L38" s="59"/>
      <c r="M38" s="59"/>
      <c r="N38" s="59"/>
      <c r="O38" s="59"/>
      <c r="P38" s="59"/>
    </row>
    <row r="39" spans="1:16" ht="15.6">
      <c r="A39" s="181" t="s">
        <v>19</v>
      </c>
      <c r="B39" s="59"/>
      <c r="C39" s="59"/>
      <c r="D39" s="59"/>
      <c r="E39" s="59"/>
      <c r="F39" s="59"/>
      <c r="G39" s="59"/>
      <c r="H39" s="59"/>
      <c r="I39" s="59"/>
      <c r="J39" s="59"/>
      <c r="K39" s="59"/>
      <c r="L39" s="59"/>
      <c r="M39" s="59"/>
      <c r="N39" s="59"/>
      <c r="O39" s="59"/>
      <c r="P39" s="59"/>
    </row>
    <row r="40" spans="1:16" ht="15.6">
      <c r="A40" s="181" t="s">
        <v>20</v>
      </c>
      <c r="B40" s="181" t="s">
        <v>21</v>
      </c>
      <c r="C40" s="181" t="s">
        <v>217</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702</v>
      </c>
    </row>
    <row r="41" spans="1:16" ht="15.6">
      <c r="A41" s="180" t="s">
        <v>1569</v>
      </c>
      <c r="B41" s="180">
        <v>1</v>
      </c>
      <c r="C41" s="180"/>
      <c r="D41" s="180" t="s">
        <v>18</v>
      </c>
      <c r="E41" s="59" t="s">
        <v>2</v>
      </c>
      <c r="F41" s="59" t="s">
        <v>1557</v>
      </c>
      <c r="G41" s="180" t="s">
        <v>59</v>
      </c>
      <c r="H41" s="59" t="s">
        <v>30</v>
      </c>
      <c r="I41" s="59">
        <v>0</v>
      </c>
      <c r="J41" s="180" t="s">
        <v>31</v>
      </c>
      <c r="K41" s="180" t="s">
        <v>31</v>
      </c>
      <c r="L41" s="180" t="s">
        <v>31</v>
      </c>
      <c r="M41" s="180" t="s">
        <v>31</v>
      </c>
      <c r="N41" s="180" t="s">
        <v>31</v>
      </c>
      <c r="O41" s="59" t="s">
        <v>1572</v>
      </c>
      <c r="P41" s="59"/>
    </row>
    <row r="42" spans="1:16" ht="15.6">
      <c r="A42" s="88" t="s">
        <v>572</v>
      </c>
      <c r="B42">
        <v>-3.81</v>
      </c>
      <c r="D42" t="s">
        <v>37</v>
      </c>
      <c r="E42" s="188" t="s">
        <v>40</v>
      </c>
      <c r="F42" s="59" t="s">
        <v>1557</v>
      </c>
      <c r="G42" t="s">
        <v>82</v>
      </c>
      <c r="H42" t="s">
        <v>33</v>
      </c>
      <c r="I42" s="59">
        <v>0</v>
      </c>
      <c r="J42" s="180" t="s">
        <v>31</v>
      </c>
      <c r="K42" s="180" t="s">
        <v>31</v>
      </c>
      <c r="L42" s="180" t="s">
        <v>31</v>
      </c>
      <c r="M42" s="180" t="s">
        <v>31</v>
      </c>
      <c r="N42" s="180" t="s">
        <v>31</v>
      </c>
      <c r="O42" s="59" t="s">
        <v>1572</v>
      </c>
      <c r="P42" s="180" t="s">
        <v>1573</v>
      </c>
    </row>
    <row r="43" spans="1:16" ht="15.6">
      <c r="A43" t="s">
        <v>38</v>
      </c>
      <c r="B43">
        <f>B44*0.277777777</f>
        <v>18.404416615134298</v>
      </c>
      <c r="D43" t="s">
        <v>39</v>
      </c>
      <c r="E43" s="188" t="s">
        <v>40</v>
      </c>
      <c r="F43" s="59" t="s">
        <v>1557</v>
      </c>
      <c r="G43" t="s">
        <v>59</v>
      </c>
      <c r="H43" s="59" t="s">
        <v>136</v>
      </c>
      <c r="I43" s="59">
        <v>0</v>
      </c>
      <c r="J43" s="180" t="s">
        <v>31</v>
      </c>
      <c r="K43" s="180" t="s">
        <v>31</v>
      </c>
      <c r="L43" s="180" t="s">
        <v>31</v>
      </c>
      <c r="M43" s="180" t="s">
        <v>31</v>
      </c>
      <c r="N43" s="180" t="s">
        <v>31</v>
      </c>
      <c r="O43" t="s">
        <v>1574</v>
      </c>
    </row>
    <row r="44" spans="1:16" ht="15.6">
      <c r="A44" t="s">
        <v>70</v>
      </c>
      <c r="B44">
        <f>-B42*0.5*34.78</f>
        <v>66.255899999999997</v>
      </c>
      <c r="D44" t="s">
        <v>71</v>
      </c>
      <c r="E44" s="188" t="s">
        <v>40</v>
      </c>
      <c r="F44" s="59" t="s">
        <v>1557</v>
      </c>
      <c r="G44" t="s">
        <v>59</v>
      </c>
      <c r="H44" s="59" t="s">
        <v>136</v>
      </c>
      <c r="I44" s="59">
        <v>0</v>
      </c>
      <c r="J44" s="180" t="s">
        <v>31</v>
      </c>
      <c r="K44" s="180" t="s">
        <v>31</v>
      </c>
      <c r="L44" s="180" t="s">
        <v>31</v>
      </c>
      <c r="M44" s="180" t="s">
        <v>31</v>
      </c>
      <c r="N44" s="180" t="s">
        <v>31</v>
      </c>
      <c r="O44" t="s">
        <v>1575</v>
      </c>
    </row>
    <row r="45" spans="1:16" s="185" customFormat="1" ht="15.6">
      <c r="A45" s="182" t="s">
        <v>5</v>
      </c>
      <c r="B45" s="182" t="s">
        <v>1576</v>
      </c>
      <c r="C45" s="182"/>
      <c r="D45" s="183"/>
      <c r="E45" s="184"/>
      <c r="F45" s="184"/>
      <c r="G45" s="184"/>
      <c r="H45" s="184"/>
      <c r="I45" s="184"/>
      <c r="J45" s="184"/>
      <c r="K45" s="184"/>
      <c r="L45" s="184"/>
      <c r="M45" s="184"/>
      <c r="N45" s="184"/>
      <c r="O45" s="184"/>
      <c r="P45" s="184"/>
    </row>
    <row r="46" spans="1:16">
      <c r="A46" s="59" t="s">
        <v>7</v>
      </c>
      <c r="B46" s="59" t="s">
        <v>1559</v>
      </c>
      <c r="C46" s="59"/>
      <c r="D46" s="59"/>
      <c r="E46" s="59"/>
      <c r="F46" s="59"/>
      <c r="G46" s="59"/>
      <c r="H46" s="59"/>
      <c r="I46" s="59"/>
      <c r="J46" s="59"/>
      <c r="K46" s="59"/>
      <c r="L46" s="59"/>
      <c r="M46" s="59"/>
      <c r="N46" s="59"/>
      <c r="O46" s="59"/>
      <c r="P46" s="59"/>
    </row>
    <row r="47" spans="1:16">
      <c r="A47" s="59" t="s">
        <v>9</v>
      </c>
      <c r="B47" s="186" t="s">
        <v>1577</v>
      </c>
      <c r="C47" s="59"/>
      <c r="D47" s="59"/>
      <c r="E47" s="59"/>
      <c r="F47" s="59"/>
      <c r="G47" s="59"/>
      <c r="H47" s="59"/>
      <c r="I47" s="59"/>
      <c r="J47" s="59"/>
      <c r="K47" s="59"/>
      <c r="L47" s="59"/>
      <c r="M47" s="59"/>
      <c r="N47" s="59"/>
      <c r="O47" s="59"/>
      <c r="P47" s="59"/>
    </row>
    <row r="48" spans="1:16">
      <c r="A48" s="59" t="s">
        <v>11</v>
      </c>
      <c r="B48" s="59" t="s">
        <v>1578</v>
      </c>
      <c r="C48" s="59"/>
      <c r="D48" s="59"/>
      <c r="E48" s="59"/>
      <c r="F48" s="59"/>
      <c r="G48" s="59"/>
      <c r="H48" s="59"/>
      <c r="I48" s="59"/>
      <c r="J48" s="59"/>
      <c r="K48" s="59"/>
      <c r="L48" s="59"/>
      <c r="M48" s="59"/>
      <c r="N48" s="59"/>
      <c r="O48" s="59"/>
      <c r="P48" s="59"/>
    </row>
    <row r="49" spans="1:16">
      <c r="A49" s="59" t="s">
        <v>13</v>
      </c>
      <c r="B49" s="59" t="s">
        <v>59</v>
      </c>
      <c r="C49" s="59"/>
      <c r="D49" s="59"/>
      <c r="E49" s="59"/>
      <c r="F49" s="59"/>
      <c r="G49" s="59"/>
      <c r="H49" s="59"/>
      <c r="I49" s="59"/>
      <c r="J49" s="59"/>
      <c r="K49" s="59"/>
      <c r="L49" s="59"/>
      <c r="M49" s="59"/>
      <c r="N49" s="59"/>
      <c r="O49" s="59"/>
      <c r="P49" s="59"/>
    </row>
    <row r="50" spans="1:16">
      <c r="A50" s="59" t="s">
        <v>15</v>
      </c>
      <c r="B50" s="59">
        <v>1</v>
      </c>
      <c r="C50" s="59"/>
      <c r="D50" s="59"/>
      <c r="E50" s="59"/>
      <c r="F50" s="59"/>
      <c r="G50" s="59"/>
      <c r="H50" s="59"/>
      <c r="I50" s="59"/>
      <c r="J50" s="59"/>
      <c r="K50" s="59"/>
      <c r="L50" s="59"/>
      <c r="M50" s="59"/>
      <c r="N50" s="59"/>
      <c r="O50" s="59"/>
      <c r="P50" s="59"/>
    </row>
    <row r="51" spans="1:16">
      <c r="A51" s="59" t="s">
        <v>16</v>
      </c>
      <c r="B51" s="59" t="s">
        <v>17</v>
      </c>
      <c r="C51" s="59"/>
      <c r="D51" s="59"/>
      <c r="E51" s="59"/>
      <c r="F51" s="59"/>
      <c r="G51" s="59"/>
      <c r="H51" s="59"/>
      <c r="I51" s="59"/>
      <c r="J51" s="59"/>
      <c r="K51" s="59"/>
      <c r="L51" s="59"/>
      <c r="M51" s="59"/>
      <c r="N51" s="59"/>
      <c r="O51" s="59"/>
      <c r="P51" s="59"/>
    </row>
    <row r="52" spans="1:16">
      <c r="A52" s="59" t="s">
        <v>18</v>
      </c>
      <c r="B52" s="59" t="s">
        <v>18</v>
      </c>
      <c r="C52" s="59"/>
      <c r="D52" s="59"/>
      <c r="E52" s="59" t="s">
        <v>235</v>
      </c>
      <c r="F52" s="59"/>
      <c r="G52" s="59"/>
      <c r="H52" s="59"/>
      <c r="I52" s="59"/>
      <c r="J52" s="59"/>
      <c r="K52" s="59"/>
      <c r="L52" s="59"/>
      <c r="M52" s="59"/>
      <c r="N52" s="59"/>
      <c r="O52" s="59"/>
      <c r="P52" s="59"/>
    </row>
    <row r="53" spans="1:16" ht="15.6">
      <c r="A53" s="181" t="s">
        <v>19</v>
      </c>
      <c r="B53" s="59"/>
      <c r="C53" s="59"/>
      <c r="D53" s="59"/>
      <c r="E53" s="59"/>
      <c r="F53" s="59"/>
      <c r="G53" s="59"/>
      <c r="H53" s="59"/>
      <c r="I53" s="59"/>
      <c r="J53" s="59"/>
      <c r="K53" s="59"/>
      <c r="L53" s="59"/>
      <c r="M53" s="59"/>
      <c r="N53" s="59"/>
      <c r="O53" s="59"/>
      <c r="P53" s="59"/>
    </row>
    <row r="54" spans="1:16" ht="15.6">
      <c r="A54" s="181" t="s">
        <v>20</v>
      </c>
      <c r="B54" s="181" t="s">
        <v>21</v>
      </c>
      <c r="C54" s="181" t="s">
        <v>217</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702</v>
      </c>
    </row>
    <row r="55" spans="1:16" ht="15.6">
      <c r="A55" s="180" t="s">
        <v>1576</v>
      </c>
      <c r="B55" s="180">
        <v>1</v>
      </c>
      <c r="C55" s="180"/>
      <c r="D55" s="180" t="s">
        <v>18</v>
      </c>
      <c r="E55" s="59" t="s">
        <v>2</v>
      </c>
      <c r="F55" s="59" t="s">
        <v>1557</v>
      </c>
      <c r="G55" s="180" t="s">
        <v>59</v>
      </c>
      <c r="H55" s="59" t="s">
        <v>30</v>
      </c>
      <c r="I55" s="59">
        <v>0</v>
      </c>
      <c r="J55" s="180" t="s">
        <v>31</v>
      </c>
      <c r="K55" s="180" t="s">
        <v>31</v>
      </c>
      <c r="L55" s="180" t="s">
        <v>31</v>
      </c>
      <c r="M55" s="180" t="s">
        <v>31</v>
      </c>
      <c r="N55" s="180" t="s">
        <v>31</v>
      </c>
      <c r="O55" s="59"/>
      <c r="P55" s="59"/>
    </row>
    <row r="56" spans="1:16" ht="15.6">
      <c r="A56" s="88" t="s">
        <v>312</v>
      </c>
      <c r="B56" s="59">
        <f>-0.45</f>
        <v>-0.45</v>
      </c>
      <c r="D56" t="s">
        <v>37</v>
      </c>
      <c r="E56" s="188" t="s">
        <v>40</v>
      </c>
      <c r="F56" s="59" t="s">
        <v>1557</v>
      </c>
      <c r="G56" t="s">
        <v>82</v>
      </c>
      <c r="H56" t="s">
        <v>33</v>
      </c>
      <c r="I56" s="59">
        <v>0</v>
      </c>
      <c r="J56" s="180" t="s">
        <v>31</v>
      </c>
      <c r="K56" s="180" t="s">
        <v>31</v>
      </c>
      <c r="L56" s="180" t="s">
        <v>31</v>
      </c>
      <c r="M56" s="180" t="s">
        <v>31</v>
      </c>
      <c r="N56" s="180" t="s">
        <v>31</v>
      </c>
      <c r="O56" s="180" t="s">
        <v>1579</v>
      </c>
    </row>
    <row r="57" spans="1:16" s="185" customFormat="1" ht="15.6">
      <c r="A57" s="182" t="s">
        <v>5</v>
      </c>
      <c r="B57" s="182" t="s">
        <v>1580</v>
      </c>
      <c r="C57" s="182"/>
      <c r="D57" s="183"/>
      <c r="E57" s="184"/>
      <c r="F57" s="184"/>
      <c r="G57" s="184"/>
      <c r="H57" s="184"/>
      <c r="I57" s="184"/>
      <c r="J57" s="184"/>
      <c r="K57" s="184"/>
      <c r="L57" s="184"/>
      <c r="M57" s="184"/>
      <c r="N57" s="184"/>
      <c r="O57" s="184"/>
      <c r="P57" s="184"/>
    </row>
    <row r="58" spans="1:16">
      <c r="A58" s="59" t="s">
        <v>7</v>
      </c>
      <c r="B58" s="59" t="s">
        <v>1559</v>
      </c>
      <c r="C58" s="59"/>
      <c r="D58" s="59"/>
      <c r="E58" s="59"/>
      <c r="F58" s="59"/>
      <c r="G58" s="59"/>
      <c r="H58" s="59"/>
      <c r="I58" s="59"/>
      <c r="J58" s="59"/>
      <c r="K58" s="59"/>
      <c r="L58" s="59"/>
      <c r="M58" s="59"/>
      <c r="N58" s="59"/>
      <c r="O58" s="59"/>
      <c r="P58" s="59"/>
    </row>
    <row r="59" spans="1:16">
      <c r="A59" s="59" t="s">
        <v>9</v>
      </c>
      <c r="B59" s="186" t="s">
        <v>1581</v>
      </c>
      <c r="C59" s="59"/>
      <c r="D59" s="59"/>
      <c r="E59" s="59"/>
      <c r="F59" s="59"/>
      <c r="G59" s="59"/>
      <c r="H59" s="59"/>
      <c r="I59" s="59"/>
      <c r="J59" s="59"/>
      <c r="K59" s="59"/>
      <c r="L59" s="59"/>
      <c r="M59" s="59"/>
      <c r="N59" s="59"/>
      <c r="O59" s="59"/>
      <c r="P59" s="59"/>
    </row>
    <row r="60" spans="1:16">
      <c r="A60" s="59" t="s">
        <v>11</v>
      </c>
      <c r="B60" s="59" t="s">
        <v>1582</v>
      </c>
      <c r="C60" s="59"/>
      <c r="D60" s="59"/>
      <c r="E60" s="59"/>
      <c r="F60" s="59"/>
      <c r="G60" s="59"/>
      <c r="H60" s="59"/>
      <c r="I60" s="59"/>
      <c r="J60" s="59"/>
      <c r="K60" s="59"/>
      <c r="L60" s="59"/>
      <c r="M60" s="59"/>
      <c r="N60" s="59"/>
      <c r="O60" s="59"/>
      <c r="P60" s="59"/>
    </row>
    <row r="61" spans="1:16">
      <c r="A61" s="59" t="s">
        <v>13</v>
      </c>
      <c r="B61" s="59" t="s">
        <v>59</v>
      </c>
      <c r="C61" s="59"/>
      <c r="D61" s="59"/>
      <c r="E61" s="59"/>
      <c r="F61" s="59"/>
      <c r="G61" s="59"/>
      <c r="H61" s="59"/>
      <c r="I61" s="59"/>
      <c r="J61" s="59"/>
      <c r="K61" s="59"/>
      <c r="L61" s="59"/>
      <c r="M61" s="59"/>
      <c r="N61" s="59"/>
      <c r="O61" s="59"/>
      <c r="P61" s="59"/>
    </row>
    <row r="62" spans="1:16">
      <c r="A62" s="59" t="s">
        <v>15</v>
      </c>
      <c r="B62" s="59">
        <v>1</v>
      </c>
      <c r="C62" s="59"/>
      <c r="D62" s="59"/>
      <c r="E62" s="59"/>
      <c r="F62" s="59"/>
      <c r="G62" s="59"/>
      <c r="H62" s="59"/>
      <c r="I62" s="59"/>
      <c r="J62" s="59"/>
      <c r="K62" s="59"/>
      <c r="L62" s="59"/>
      <c r="M62" s="59"/>
      <c r="N62" s="59"/>
      <c r="O62" s="59"/>
      <c r="P62" s="59"/>
    </row>
    <row r="63" spans="1:16">
      <c r="A63" s="59" t="s">
        <v>16</v>
      </c>
      <c r="B63" s="59" t="s">
        <v>17</v>
      </c>
      <c r="C63" s="59"/>
      <c r="D63" s="59"/>
      <c r="E63" s="59"/>
      <c r="F63" s="59"/>
      <c r="G63" s="59"/>
      <c r="H63" s="59"/>
      <c r="I63" s="59"/>
      <c r="J63" s="59"/>
      <c r="K63" s="59"/>
      <c r="L63" s="59"/>
      <c r="M63" s="59"/>
      <c r="N63" s="59"/>
      <c r="O63" s="59"/>
      <c r="P63" s="59"/>
    </row>
    <row r="64" spans="1:16">
      <c r="A64" s="59" t="s">
        <v>18</v>
      </c>
      <c r="B64" s="59" t="s">
        <v>18</v>
      </c>
      <c r="C64" s="59"/>
      <c r="D64" s="59"/>
      <c r="E64" s="59" t="s">
        <v>235</v>
      </c>
      <c r="F64" s="59"/>
      <c r="G64" s="59"/>
      <c r="H64" s="59"/>
      <c r="I64" s="59"/>
      <c r="J64" s="59"/>
      <c r="K64" s="59"/>
      <c r="L64" s="59"/>
      <c r="M64" s="59"/>
      <c r="N64" s="59"/>
      <c r="O64" s="59"/>
      <c r="P64" s="59"/>
    </row>
    <row r="65" spans="1:16" ht="15.6">
      <c r="A65" s="181" t="s">
        <v>19</v>
      </c>
      <c r="B65" s="59"/>
      <c r="C65" s="59"/>
      <c r="D65" s="59"/>
      <c r="E65" s="59"/>
      <c r="F65" s="59"/>
      <c r="G65" s="59"/>
      <c r="H65" s="59"/>
      <c r="I65" s="59"/>
      <c r="J65" s="59"/>
      <c r="K65" s="59"/>
      <c r="L65" s="59"/>
      <c r="M65" s="59"/>
      <c r="N65" s="59"/>
      <c r="O65" s="59"/>
      <c r="P65" s="59"/>
    </row>
    <row r="66" spans="1:16" ht="15.6">
      <c r="A66" s="181" t="s">
        <v>20</v>
      </c>
      <c r="B66" s="181" t="s">
        <v>21</v>
      </c>
      <c r="C66" s="181" t="s">
        <v>217</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702</v>
      </c>
    </row>
    <row r="67" spans="1:16" ht="15.6">
      <c r="A67" s="180" t="str">
        <f>B57</f>
        <v>treatment of power electronics,Battery charging station, GT-bat, Long-term</v>
      </c>
      <c r="B67" s="180">
        <v>1</v>
      </c>
      <c r="C67" s="180"/>
      <c r="D67" s="180" t="s">
        <v>18</v>
      </c>
      <c r="E67" s="59" t="s">
        <v>2</v>
      </c>
      <c r="F67" s="59" t="s">
        <v>1557</v>
      </c>
      <c r="G67" s="180" t="s">
        <v>59</v>
      </c>
      <c r="H67" s="59" t="s">
        <v>30</v>
      </c>
      <c r="I67" s="59">
        <v>0</v>
      </c>
      <c r="J67" s="180" t="s">
        <v>31</v>
      </c>
      <c r="K67" s="180" t="s">
        <v>31</v>
      </c>
      <c r="L67" s="180" t="s">
        <v>31</v>
      </c>
      <c r="M67" s="180" t="s">
        <v>31</v>
      </c>
      <c r="N67" s="180" t="s">
        <v>31</v>
      </c>
      <c r="O67" s="59" t="s">
        <v>1583</v>
      </c>
      <c r="P67" s="59"/>
    </row>
    <row r="68" spans="1:16" ht="15.6">
      <c r="A68" t="str">
        <f>B2</f>
        <v>treatment of circuit components,Battery charging station, GT-bat, Long-term</v>
      </c>
      <c r="B68" s="180">
        <v>48</v>
      </c>
      <c r="D68" s="180" t="s">
        <v>18</v>
      </c>
      <c r="E68" s="59" t="s">
        <v>2</v>
      </c>
      <c r="F68" s="59" t="s">
        <v>1557</v>
      </c>
      <c r="G68" s="180" t="s">
        <v>59</v>
      </c>
      <c r="H68" t="s">
        <v>33</v>
      </c>
      <c r="I68" s="59">
        <v>0</v>
      </c>
      <c r="J68" s="180" t="s">
        <v>31</v>
      </c>
      <c r="K68" s="180" t="s">
        <v>31</v>
      </c>
      <c r="L68" s="180" t="s">
        <v>31</v>
      </c>
      <c r="M68" s="180" t="s">
        <v>31</v>
      </c>
      <c r="N68" s="180" t="s">
        <v>31</v>
      </c>
    </row>
    <row r="69" spans="1:16" ht="15.6">
      <c r="A69" t="str">
        <f>B14</f>
        <v>treatment of metals,Battery charging station, GT-bat, Long-term</v>
      </c>
      <c r="B69" s="180">
        <v>48</v>
      </c>
      <c r="D69" s="180" t="s">
        <v>18</v>
      </c>
      <c r="E69" s="59" t="s">
        <v>2</v>
      </c>
      <c r="F69" s="59" t="s">
        <v>1557</v>
      </c>
      <c r="G69" s="180" t="s">
        <v>59</v>
      </c>
      <c r="H69" t="s">
        <v>33</v>
      </c>
      <c r="I69" s="59">
        <v>0</v>
      </c>
      <c r="J69" s="180" t="s">
        <v>31</v>
      </c>
      <c r="K69" s="180" t="s">
        <v>31</v>
      </c>
      <c r="L69" s="180" t="s">
        <v>31</v>
      </c>
      <c r="M69" s="180" t="s">
        <v>31</v>
      </c>
      <c r="N69" s="180" t="s">
        <v>31</v>
      </c>
    </row>
    <row r="70" spans="1:16" ht="15.6">
      <c r="A70" t="str">
        <f>B31</f>
        <v>treatment of plastics,Battery charging station, GT-bat, Long-term</v>
      </c>
      <c r="B70" s="180">
        <v>48</v>
      </c>
      <c r="D70" s="180" t="s">
        <v>18</v>
      </c>
      <c r="E70" s="59" t="s">
        <v>2</v>
      </c>
      <c r="F70" s="59" t="s">
        <v>1557</v>
      </c>
      <c r="G70" s="180" t="s">
        <v>59</v>
      </c>
      <c r="H70" t="s">
        <v>33</v>
      </c>
      <c r="I70" s="59">
        <v>0</v>
      </c>
      <c r="J70" s="180" t="s">
        <v>31</v>
      </c>
      <c r="K70" s="180" t="s">
        <v>31</v>
      </c>
      <c r="L70" s="180" t="s">
        <v>31</v>
      </c>
      <c r="M70" s="180" t="s">
        <v>31</v>
      </c>
      <c r="N70" s="180" t="s">
        <v>31</v>
      </c>
    </row>
    <row r="71" spans="1:16" ht="15.6">
      <c r="A71" t="str">
        <f>B45</f>
        <v>treatment of remaining material components,Battery charging station, GT-bat, Long-term</v>
      </c>
      <c r="B71" s="180">
        <v>48</v>
      </c>
      <c r="D71" s="180" t="s">
        <v>18</v>
      </c>
      <c r="E71" s="59" t="s">
        <v>2</v>
      </c>
      <c r="F71" s="59" t="s">
        <v>1557</v>
      </c>
      <c r="G71" s="180" t="s">
        <v>59</v>
      </c>
      <c r="H71" t="s">
        <v>33</v>
      </c>
      <c r="I71" s="59">
        <v>0</v>
      </c>
      <c r="J71" s="180" t="s">
        <v>31</v>
      </c>
      <c r="K71" s="180" t="s">
        <v>31</v>
      </c>
      <c r="L71" s="180" t="s">
        <v>31</v>
      </c>
      <c r="M71" s="180" t="s">
        <v>31</v>
      </c>
      <c r="N71" s="180" t="s">
        <v>31</v>
      </c>
    </row>
    <row r="72" spans="1:16" ht="15.6">
      <c r="A72" s="88" t="s">
        <v>1584</v>
      </c>
      <c r="B72">
        <f>48*-31.26</f>
        <v>-1500.48</v>
      </c>
      <c r="D72" s="180" t="s">
        <v>37</v>
      </c>
      <c r="E72" s="59" t="s">
        <v>40</v>
      </c>
      <c r="F72" s="59" t="s">
        <v>1557</v>
      </c>
      <c r="G72" s="180" t="s">
        <v>82</v>
      </c>
      <c r="H72" t="s">
        <v>33</v>
      </c>
      <c r="I72" s="59">
        <v>0</v>
      </c>
      <c r="J72" s="180" t="s">
        <v>31</v>
      </c>
      <c r="K72" s="180" t="s">
        <v>31</v>
      </c>
      <c r="L72" s="180" t="s">
        <v>31</v>
      </c>
      <c r="M72" s="180" t="s">
        <v>31</v>
      </c>
      <c r="N72" s="180" t="s">
        <v>31</v>
      </c>
      <c r="O72" s="180" t="s">
        <v>1585</v>
      </c>
    </row>
  </sheetData>
  <pageMargins left="0.7" right="0.7" top="0.75" bottom="0.75" header="0.3" footer="0.3"/>
  <pageSetup paperSize="9" orientation="portrai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C951F-2A2E-4ACA-8F1C-CA86BF5C365C}">
  <dimension ref="A1:Z69"/>
  <sheetViews>
    <sheetView topLeftCell="A52" workbookViewId="0">
      <selection activeCell="B5" sqref="B5"/>
    </sheetView>
  </sheetViews>
  <sheetFormatPr defaultRowHeight="14.45"/>
  <cols>
    <col min="1" max="1" width="80.140625" bestFit="1" customWidth="1"/>
  </cols>
  <sheetData>
    <row r="1" spans="1:16">
      <c r="A1" t="s">
        <v>0</v>
      </c>
      <c r="B1">
        <v>14</v>
      </c>
    </row>
    <row r="2" spans="1:16" s="70" customFormat="1" ht="15.6">
      <c r="A2" s="178" t="s">
        <v>5</v>
      </c>
      <c r="B2" s="178" t="s">
        <v>1586</v>
      </c>
      <c r="C2" s="178"/>
      <c r="D2" s="69"/>
      <c r="E2" s="144"/>
      <c r="F2" s="144"/>
      <c r="G2" s="144"/>
      <c r="H2" s="144"/>
      <c r="I2" s="144"/>
      <c r="J2" s="144"/>
      <c r="K2" s="144"/>
      <c r="L2" s="144"/>
      <c r="M2" s="144"/>
      <c r="N2" s="144"/>
      <c r="O2" s="144"/>
      <c r="P2" s="144"/>
    </row>
    <row r="3" spans="1:16">
      <c r="A3" s="59" t="s">
        <v>7</v>
      </c>
      <c r="B3" s="59" t="s">
        <v>1559</v>
      </c>
      <c r="C3" s="59"/>
      <c r="D3" s="59"/>
      <c r="E3" s="59"/>
      <c r="F3" s="59"/>
      <c r="G3" s="59"/>
      <c r="H3" s="59"/>
      <c r="I3" s="59"/>
      <c r="J3" s="59"/>
      <c r="K3" s="59"/>
      <c r="L3" s="59"/>
      <c r="M3" s="59"/>
      <c r="N3" s="59"/>
      <c r="O3" s="59"/>
      <c r="P3" s="59"/>
    </row>
    <row r="4" spans="1:16">
      <c r="A4" s="59" t="s">
        <v>9</v>
      </c>
      <c r="B4" s="186" t="s">
        <v>1587</v>
      </c>
      <c r="C4" s="59"/>
      <c r="D4" s="59"/>
      <c r="E4" s="59"/>
      <c r="F4" s="59"/>
      <c r="G4" s="59"/>
      <c r="H4" s="59"/>
      <c r="I4" s="59"/>
      <c r="J4" s="59"/>
      <c r="K4" s="59"/>
      <c r="L4" s="59"/>
      <c r="M4" s="59"/>
      <c r="N4" s="59"/>
      <c r="O4" s="59"/>
      <c r="P4" s="59"/>
    </row>
    <row r="5" spans="1:16">
      <c r="A5" s="59" t="s">
        <v>11</v>
      </c>
      <c r="B5" s="59" t="s">
        <v>1566</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c r="A9" s="59" t="s">
        <v>18</v>
      </c>
      <c r="B9" s="59" t="s">
        <v>18</v>
      </c>
      <c r="C9" s="59"/>
      <c r="D9" s="59"/>
      <c r="E9" s="59" t="s">
        <v>235</v>
      </c>
      <c r="F9" s="59"/>
      <c r="G9" s="59"/>
      <c r="H9" s="59"/>
      <c r="I9" s="59"/>
      <c r="J9" s="59"/>
      <c r="K9" s="59"/>
      <c r="L9" s="59"/>
      <c r="M9" s="59"/>
      <c r="N9" s="59"/>
      <c r="O9" s="59"/>
      <c r="P9" s="59"/>
    </row>
    <row r="10" spans="1:16" ht="15.6">
      <c r="A10" s="181" t="s">
        <v>19</v>
      </c>
      <c r="B10" s="59"/>
      <c r="C10" s="59"/>
      <c r="D10" s="59"/>
      <c r="E10" s="59"/>
      <c r="F10" s="59"/>
      <c r="G10" s="59"/>
      <c r="H10" s="59"/>
      <c r="I10" s="59"/>
      <c r="J10" s="59"/>
      <c r="K10" s="59"/>
      <c r="L10" s="59"/>
      <c r="M10" s="59"/>
      <c r="N10" s="59"/>
      <c r="O10" s="59"/>
      <c r="P10" s="59"/>
    </row>
    <row r="11" spans="1:16"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6">
      <c r="A12" s="180" t="str">
        <f>B2</f>
        <v>treatment of alu,Battery charging station, GT-bat, Long-term</v>
      </c>
      <c r="B12" s="180">
        <v>1</v>
      </c>
      <c r="C12" s="180"/>
      <c r="D12" s="180" t="s">
        <v>18</v>
      </c>
      <c r="E12" s="59" t="s">
        <v>2</v>
      </c>
      <c r="F12" s="59" t="s">
        <v>1557</v>
      </c>
      <c r="G12" s="180" t="s">
        <v>59</v>
      </c>
      <c r="H12" s="59" t="s">
        <v>30</v>
      </c>
      <c r="I12" s="59">
        <v>0</v>
      </c>
      <c r="J12" s="180" t="s">
        <v>31</v>
      </c>
      <c r="K12" s="180" t="s">
        <v>31</v>
      </c>
      <c r="L12" s="180" t="s">
        <v>31</v>
      </c>
      <c r="M12" s="180" t="s">
        <v>31</v>
      </c>
      <c r="N12" s="180" t="s">
        <v>31</v>
      </c>
      <c r="O12" s="59" t="s">
        <v>1567</v>
      </c>
      <c r="P12" s="59"/>
    </row>
    <row r="13" spans="1:16" ht="15.6">
      <c r="A13" t="s">
        <v>263</v>
      </c>
      <c r="B13" s="23">
        <v>1584.56</v>
      </c>
      <c r="C13" s="180"/>
      <c r="D13" s="180" t="s">
        <v>37</v>
      </c>
      <c r="E13" s="37" t="s">
        <v>40</v>
      </c>
      <c r="F13" s="59" t="s">
        <v>1557</v>
      </c>
      <c r="G13" t="s">
        <v>82</v>
      </c>
      <c r="H13" s="59" t="s">
        <v>33</v>
      </c>
      <c r="I13" s="59">
        <v>0</v>
      </c>
      <c r="J13" s="180" t="s">
        <v>31</v>
      </c>
      <c r="K13" s="180" t="s">
        <v>31</v>
      </c>
      <c r="L13" s="180" t="s">
        <v>31</v>
      </c>
      <c r="M13" s="180" t="s">
        <v>31</v>
      </c>
      <c r="N13" s="180" t="s">
        <v>31</v>
      </c>
      <c r="O13" s="59"/>
      <c r="P13" s="59"/>
    </row>
    <row r="14" spans="1:16" ht="15.6">
      <c r="A14" t="s">
        <v>265</v>
      </c>
      <c r="B14" s="23">
        <v>1584.56</v>
      </c>
      <c r="C14" s="22" t="s">
        <v>266</v>
      </c>
      <c r="D14" t="s">
        <v>37</v>
      </c>
      <c r="E14" s="188" t="s">
        <v>40</v>
      </c>
      <c r="F14" s="59" t="s">
        <v>1557</v>
      </c>
      <c r="G14" t="s">
        <v>82</v>
      </c>
      <c r="H14" s="59" t="s">
        <v>33</v>
      </c>
      <c r="I14" s="59">
        <v>0</v>
      </c>
      <c r="J14" s="180" t="s">
        <v>31</v>
      </c>
      <c r="K14" s="180" t="s">
        <v>31</v>
      </c>
      <c r="L14" s="180" t="s">
        <v>31</v>
      </c>
      <c r="M14" s="180" t="s">
        <v>31</v>
      </c>
      <c r="N14" s="180" t="s">
        <v>31</v>
      </c>
      <c r="O14" t="s">
        <v>401</v>
      </c>
    </row>
    <row r="15" spans="1:16" ht="15.6">
      <c r="A15" t="s">
        <v>347</v>
      </c>
      <c r="B15" s="23">
        <f>B14*0.9</f>
        <v>1426.104</v>
      </c>
      <c r="D15" t="s">
        <v>37</v>
      </c>
      <c r="E15" s="188" t="s">
        <v>40</v>
      </c>
      <c r="F15" s="59" t="s">
        <v>1557</v>
      </c>
      <c r="G15" t="s">
        <v>59</v>
      </c>
      <c r="H15" s="59" t="s">
        <v>136</v>
      </c>
      <c r="I15" s="59">
        <v>0</v>
      </c>
      <c r="J15" s="180" t="s">
        <v>31</v>
      </c>
      <c r="K15" s="180" t="s">
        <v>31</v>
      </c>
      <c r="L15" s="180" t="s">
        <v>31</v>
      </c>
      <c r="M15" s="180" t="s">
        <v>31</v>
      </c>
      <c r="N15" s="180" t="s">
        <v>31</v>
      </c>
      <c r="O15" s="59" t="s">
        <v>1373</v>
      </c>
    </row>
    <row r="16" spans="1:16" ht="16.5" customHeight="1">
      <c r="A16" t="s">
        <v>403</v>
      </c>
      <c r="B16" s="23">
        <f>-0.1*B15+3.28</f>
        <v>-139.3304</v>
      </c>
      <c r="D16" t="s">
        <v>37</v>
      </c>
      <c r="E16" s="88" t="s">
        <v>40</v>
      </c>
      <c r="F16" s="59" t="s">
        <v>1557</v>
      </c>
      <c r="G16" t="s">
        <v>59</v>
      </c>
      <c r="H16" t="s">
        <v>33</v>
      </c>
      <c r="I16">
        <v>0</v>
      </c>
      <c r="J16" t="s">
        <v>31</v>
      </c>
      <c r="K16" t="s">
        <v>31</v>
      </c>
      <c r="L16" t="s">
        <v>31</v>
      </c>
      <c r="M16" t="s">
        <v>31</v>
      </c>
      <c r="N16" t="s">
        <v>31</v>
      </c>
      <c r="O16" s="17" t="s">
        <v>1568</v>
      </c>
    </row>
    <row r="17" spans="1:26" ht="15.6">
      <c r="A17" s="178" t="s">
        <v>5</v>
      </c>
      <c r="B17" s="178" t="str">
        <f>A27</f>
        <v>treatment of steel,Battery charging station, Gt-bat, Long-term</v>
      </c>
      <c r="C17" s="178"/>
      <c r="D17" s="69"/>
      <c r="E17" s="144"/>
      <c r="F17" s="144"/>
      <c r="G17" s="144"/>
      <c r="H17" s="144"/>
      <c r="I17" s="144"/>
      <c r="J17" s="144"/>
      <c r="K17" s="144"/>
      <c r="L17" s="144"/>
      <c r="M17" s="144"/>
      <c r="N17" s="144"/>
      <c r="O17" s="144"/>
      <c r="P17" s="144"/>
      <c r="Q17" s="144"/>
      <c r="R17" s="144"/>
      <c r="S17" s="144"/>
      <c r="T17" s="144"/>
      <c r="U17" s="144"/>
      <c r="V17" s="144"/>
      <c r="W17" s="144"/>
      <c r="X17" s="144"/>
      <c r="Y17" s="144"/>
      <c r="Z17" s="144"/>
    </row>
    <row r="18" spans="1:26">
      <c r="A18" s="59" t="s">
        <v>7</v>
      </c>
      <c r="B18" s="59" t="s">
        <v>1588</v>
      </c>
      <c r="C18" s="59"/>
      <c r="D18" s="59"/>
      <c r="E18" s="59"/>
      <c r="F18" s="59"/>
      <c r="G18" s="59"/>
      <c r="H18" s="59"/>
      <c r="I18" s="59"/>
      <c r="J18" s="59"/>
      <c r="K18" s="59"/>
      <c r="L18" s="59"/>
      <c r="M18" s="59"/>
      <c r="N18" s="59"/>
      <c r="O18" s="59"/>
      <c r="P18" s="59"/>
      <c r="Q18" s="59"/>
      <c r="R18" s="59"/>
      <c r="S18" s="59"/>
      <c r="T18" s="59"/>
      <c r="U18" s="59"/>
      <c r="V18" s="59"/>
      <c r="W18" s="59"/>
      <c r="X18" s="59"/>
      <c r="Y18" s="59"/>
      <c r="Z18" s="59"/>
    </row>
    <row r="19" spans="1:26">
      <c r="A19" s="59" t="s">
        <v>9</v>
      </c>
      <c r="B19" s="179" t="s">
        <v>1589</v>
      </c>
      <c r="C19" s="59"/>
      <c r="D19" s="59"/>
      <c r="E19" s="59"/>
      <c r="F19" s="59"/>
      <c r="G19" s="59"/>
      <c r="H19" s="59"/>
      <c r="I19" s="59"/>
      <c r="J19" s="59"/>
      <c r="K19" s="59"/>
      <c r="L19" s="59"/>
      <c r="M19" s="59"/>
      <c r="N19" s="59"/>
      <c r="O19" s="59"/>
      <c r="P19" s="59"/>
      <c r="Q19" s="59"/>
      <c r="R19" s="59"/>
      <c r="S19" s="59"/>
      <c r="T19" s="59"/>
      <c r="U19" s="59"/>
      <c r="V19" s="59"/>
      <c r="W19" s="59"/>
      <c r="X19" s="59"/>
      <c r="Y19" s="59"/>
      <c r="Z19" s="59"/>
    </row>
    <row r="20" spans="1:26">
      <c r="A20" s="59" t="s">
        <v>11</v>
      </c>
      <c r="B20" s="59" t="s">
        <v>1590</v>
      </c>
      <c r="C20" s="59"/>
      <c r="D20" s="59"/>
      <c r="E20" s="59"/>
      <c r="F20" s="59"/>
      <c r="G20" s="59"/>
      <c r="H20" s="59"/>
      <c r="I20" s="59"/>
      <c r="J20" s="59"/>
      <c r="K20" s="59"/>
      <c r="L20" s="59"/>
      <c r="M20" s="59"/>
      <c r="N20" s="59"/>
      <c r="O20" s="59"/>
      <c r="P20" s="59"/>
      <c r="Q20" s="59"/>
      <c r="R20" s="59"/>
      <c r="S20" s="59"/>
      <c r="T20" s="59"/>
      <c r="U20" s="59"/>
      <c r="V20" s="59"/>
      <c r="W20" s="59"/>
      <c r="X20" s="59"/>
      <c r="Y20" s="59"/>
      <c r="Z20" s="59"/>
    </row>
    <row r="21" spans="1:26">
      <c r="A21" s="59" t="s">
        <v>13</v>
      </c>
      <c r="B21" s="59" t="s">
        <v>59</v>
      </c>
      <c r="C21" s="59"/>
      <c r="D21" s="59"/>
      <c r="E21" s="59"/>
      <c r="F21" s="59"/>
      <c r="G21" s="59"/>
      <c r="H21" s="59"/>
      <c r="I21" s="59"/>
      <c r="J21" s="59"/>
      <c r="K21" s="59"/>
      <c r="L21" s="59"/>
      <c r="M21" s="59"/>
      <c r="N21" s="59"/>
      <c r="O21" s="59"/>
      <c r="P21" s="59"/>
      <c r="Q21" s="59"/>
      <c r="R21" s="59"/>
      <c r="S21" s="59"/>
      <c r="T21" s="59"/>
      <c r="U21" s="59"/>
      <c r="V21" s="59"/>
      <c r="W21" s="59"/>
      <c r="X21" s="59"/>
      <c r="Y21" s="59"/>
      <c r="Z21" s="59"/>
    </row>
    <row r="22" spans="1:26">
      <c r="A22" s="59" t="s">
        <v>15</v>
      </c>
      <c r="B22" s="59">
        <v>1</v>
      </c>
      <c r="C22" s="59"/>
      <c r="D22" s="59"/>
      <c r="E22" s="59"/>
      <c r="F22" s="59"/>
      <c r="G22" s="59"/>
      <c r="H22" s="59"/>
      <c r="I22" s="59"/>
      <c r="J22" s="59"/>
      <c r="K22" s="59"/>
      <c r="L22" s="59"/>
      <c r="M22" s="59"/>
      <c r="N22" s="59"/>
      <c r="O22" s="59"/>
      <c r="P22" s="59"/>
      <c r="Q22" s="59"/>
      <c r="R22" s="59"/>
      <c r="S22" s="59"/>
      <c r="T22" s="59"/>
      <c r="U22" s="59"/>
      <c r="V22" s="59"/>
      <c r="W22" s="59"/>
      <c r="X22" s="59"/>
      <c r="Y22" s="59"/>
      <c r="Z22" s="59"/>
    </row>
    <row r="23" spans="1:26">
      <c r="A23" s="59" t="s">
        <v>16</v>
      </c>
      <c r="B23" s="59" t="s">
        <v>17</v>
      </c>
      <c r="C23" s="59"/>
      <c r="D23" s="59"/>
      <c r="E23" s="59"/>
      <c r="F23" s="59"/>
      <c r="G23" s="59"/>
      <c r="H23" s="59"/>
      <c r="I23" s="59"/>
      <c r="J23" s="59"/>
      <c r="K23" s="59"/>
      <c r="L23" s="59"/>
      <c r="M23" s="59"/>
      <c r="N23" s="59"/>
      <c r="O23" s="59"/>
      <c r="P23" s="59"/>
      <c r="Q23" s="59"/>
      <c r="R23" s="59"/>
      <c r="S23" s="59"/>
      <c r="T23" s="59"/>
      <c r="U23" s="59"/>
      <c r="V23" s="59"/>
      <c r="W23" s="59"/>
      <c r="X23" s="59"/>
      <c r="Y23" s="59"/>
      <c r="Z23" s="59"/>
    </row>
    <row r="24" spans="1:26" ht="15.6">
      <c r="A24" s="59" t="s">
        <v>18</v>
      </c>
      <c r="B24" s="180" t="s">
        <v>18</v>
      </c>
      <c r="C24" s="59"/>
      <c r="D24" s="59"/>
      <c r="E24" s="59" t="s">
        <v>235</v>
      </c>
      <c r="F24" s="59"/>
      <c r="G24" s="59"/>
      <c r="H24" s="59"/>
      <c r="I24" s="59"/>
      <c r="J24" s="59"/>
      <c r="K24" s="59"/>
      <c r="L24" s="59"/>
      <c r="M24" s="59"/>
      <c r="N24" s="59"/>
      <c r="O24" s="59"/>
      <c r="P24" s="59"/>
      <c r="Q24" s="59"/>
      <c r="R24" s="59"/>
      <c r="S24" s="59"/>
      <c r="T24" s="59"/>
      <c r="U24" s="59"/>
      <c r="V24" s="59"/>
      <c r="W24" s="59"/>
      <c r="X24" s="59"/>
      <c r="Y24" s="59"/>
      <c r="Z24" s="59"/>
    </row>
    <row r="25" spans="1:26" ht="15.6">
      <c r="A25" s="181" t="s">
        <v>19</v>
      </c>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spans="1:26" ht="15.6">
      <c r="A26" s="181" t="s">
        <v>20</v>
      </c>
      <c r="B26" s="181" t="s">
        <v>21</v>
      </c>
      <c r="C26" s="181" t="s">
        <v>217</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702</v>
      </c>
      <c r="Q26" s="59"/>
      <c r="R26" s="59"/>
      <c r="S26" s="59"/>
      <c r="T26" s="59"/>
      <c r="U26" s="59"/>
      <c r="V26" s="59"/>
      <c r="W26" s="59"/>
      <c r="X26" s="59"/>
      <c r="Y26" s="59"/>
      <c r="Z26" s="59"/>
    </row>
    <row r="27" spans="1:26" ht="15.6">
      <c r="A27" s="180" t="s">
        <v>1591</v>
      </c>
      <c r="B27" s="180">
        <v>1</v>
      </c>
      <c r="C27" s="180"/>
      <c r="D27" s="180" t="s">
        <v>18</v>
      </c>
      <c r="E27" s="59" t="s">
        <v>2</v>
      </c>
      <c r="F27" s="59" t="s">
        <v>1592</v>
      </c>
      <c r="G27" s="180" t="s">
        <v>59</v>
      </c>
      <c r="H27" s="59" t="s">
        <v>30</v>
      </c>
      <c r="I27" s="59">
        <v>0</v>
      </c>
      <c r="J27" s="180" t="s">
        <v>31</v>
      </c>
      <c r="K27" s="180" t="s">
        <v>31</v>
      </c>
      <c r="L27" s="180" t="s">
        <v>31</v>
      </c>
      <c r="M27" s="180" t="s">
        <v>31</v>
      </c>
      <c r="N27" s="180" t="s">
        <v>31</v>
      </c>
      <c r="O27" s="59"/>
      <c r="P27" s="59"/>
      <c r="Q27" s="59"/>
      <c r="R27" s="59"/>
      <c r="S27" s="59"/>
      <c r="T27" s="59"/>
      <c r="U27" s="59"/>
      <c r="V27" s="59"/>
      <c r="W27" s="59"/>
      <c r="X27" s="59"/>
      <c r="Y27" s="59"/>
      <c r="Z27" s="59"/>
    </row>
    <row r="28" spans="1:26" ht="15.6">
      <c r="A28" s="59" t="s">
        <v>135</v>
      </c>
      <c r="B28" s="59">
        <v>-9236.4320000000007</v>
      </c>
      <c r="C28" s="180"/>
      <c r="D28" s="180" t="s">
        <v>37</v>
      </c>
      <c r="E28" s="189" t="s">
        <v>40</v>
      </c>
      <c r="F28" s="59" t="s">
        <v>29</v>
      </c>
      <c r="G28" s="180" t="s">
        <v>82</v>
      </c>
      <c r="H28" s="59" t="s">
        <v>33</v>
      </c>
      <c r="I28" s="59">
        <v>0</v>
      </c>
      <c r="J28" s="180" t="s">
        <v>31</v>
      </c>
      <c r="K28" s="180" t="s">
        <v>31</v>
      </c>
      <c r="L28" s="180" t="s">
        <v>31</v>
      </c>
      <c r="M28" s="180" t="s">
        <v>31</v>
      </c>
      <c r="N28" s="180" t="s">
        <v>31</v>
      </c>
      <c r="O28" s="59"/>
      <c r="P28" s="59" t="s">
        <v>1593</v>
      </c>
      <c r="Q28" s="59"/>
      <c r="R28" s="59" t="s">
        <v>1594</v>
      </c>
      <c r="S28" s="59"/>
      <c r="T28" s="59"/>
      <c r="U28" s="59"/>
      <c r="V28" s="59"/>
      <c r="W28" s="59"/>
      <c r="X28" s="59"/>
      <c r="Y28" s="59"/>
      <c r="Z28" s="59"/>
    </row>
    <row r="29" spans="1:26" ht="15.6">
      <c r="A29" s="59" t="s">
        <v>703</v>
      </c>
      <c r="B29" s="59">
        <f>-B28*0.9</f>
        <v>8312.7888000000003</v>
      </c>
      <c r="C29" s="180"/>
      <c r="D29" s="180" t="s">
        <v>37</v>
      </c>
      <c r="E29" s="189" t="s">
        <v>40</v>
      </c>
      <c r="F29" s="59" t="s">
        <v>29</v>
      </c>
      <c r="G29" s="180" t="s">
        <v>59</v>
      </c>
      <c r="H29" s="59" t="s">
        <v>136</v>
      </c>
      <c r="I29" s="59">
        <v>0</v>
      </c>
      <c r="J29" s="180" t="s">
        <v>31</v>
      </c>
      <c r="K29" s="180" t="s">
        <v>31</v>
      </c>
      <c r="L29" s="180" t="s">
        <v>31</v>
      </c>
      <c r="M29" s="180" t="s">
        <v>31</v>
      </c>
      <c r="N29" s="180" t="s">
        <v>31</v>
      </c>
      <c r="O29" s="59"/>
      <c r="P29" s="59" t="s">
        <v>1373</v>
      </c>
      <c r="Q29" s="59"/>
      <c r="R29" s="59" t="s">
        <v>1594</v>
      </c>
      <c r="S29" s="59"/>
      <c r="T29" s="59"/>
      <c r="U29" s="59"/>
      <c r="V29" s="59"/>
      <c r="W29" s="59"/>
      <c r="X29" s="59"/>
      <c r="Y29" s="59"/>
      <c r="Z29" s="59"/>
    </row>
    <row r="30" spans="1:26" ht="15.6">
      <c r="A30" s="59" t="s">
        <v>403</v>
      </c>
      <c r="B30" s="59">
        <f>B28+B29</f>
        <v>-923.64320000000043</v>
      </c>
      <c r="C30" s="59"/>
      <c r="D30" s="59" t="s">
        <v>37</v>
      </c>
      <c r="E30" s="189" t="s">
        <v>40</v>
      </c>
      <c r="F30" s="59" t="s">
        <v>1592</v>
      </c>
      <c r="G30" s="59" t="s">
        <v>59</v>
      </c>
      <c r="H30" s="59" t="s">
        <v>33</v>
      </c>
      <c r="I30" s="59">
        <v>0</v>
      </c>
      <c r="J30" s="59" t="s">
        <v>31</v>
      </c>
      <c r="K30" s="59" t="s">
        <v>31</v>
      </c>
      <c r="L30" s="59" t="s">
        <v>31</v>
      </c>
      <c r="M30" s="59" t="s">
        <v>31</v>
      </c>
      <c r="N30" s="59" t="s">
        <v>31</v>
      </c>
      <c r="O30" s="180"/>
      <c r="P30" s="59" t="s">
        <v>1595</v>
      </c>
      <c r="Q30" s="59"/>
      <c r="R30" s="59" t="s">
        <v>1594</v>
      </c>
      <c r="S30" s="59"/>
      <c r="T30" s="59"/>
      <c r="U30" s="59"/>
      <c r="V30" s="59"/>
      <c r="W30" s="59"/>
      <c r="X30" s="59"/>
      <c r="Y30" s="59"/>
      <c r="Z30" s="59"/>
    </row>
    <row r="31" spans="1:26" ht="15.6">
      <c r="A31" s="178" t="s">
        <v>5</v>
      </c>
      <c r="B31" s="178" t="str">
        <f>A41</f>
        <v>treatment of ferrite ,Battery charging station, Gt-bat, Long-term</v>
      </c>
      <c r="C31" s="178"/>
      <c r="D31" s="69"/>
      <c r="E31" s="144"/>
      <c r="F31" s="144"/>
      <c r="G31" s="144"/>
      <c r="H31" s="144"/>
      <c r="I31" s="144"/>
      <c r="J31" s="144"/>
      <c r="K31" s="144"/>
      <c r="L31" s="144"/>
      <c r="M31" s="144"/>
      <c r="N31" s="144"/>
      <c r="O31" s="144"/>
      <c r="P31" s="144"/>
      <c r="Q31" s="144"/>
      <c r="R31" s="144"/>
      <c r="S31" s="144"/>
      <c r="T31" s="144"/>
      <c r="U31" s="144"/>
      <c r="V31" s="144"/>
      <c r="W31" s="144"/>
      <c r="X31" s="144"/>
      <c r="Y31" s="144"/>
      <c r="Z31" s="144"/>
    </row>
    <row r="32" spans="1:26">
      <c r="A32" s="59" t="s">
        <v>7</v>
      </c>
      <c r="B32" s="59" t="s">
        <v>1588</v>
      </c>
      <c r="C32" s="59"/>
      <c r="D32" s="59"/>
      <c r="E32" s="59"/>
      <c r="F32" s="59"/>
      <c r="G32" s="59"/>
      <c r="H32" s="59"/>
      <c r="I32" s="59"/>
      <c r="J32" s="59"/>
      <c r="K32" s="59"/>
      <c r="L32" s="59"/>
      <c r="M32" s="59"/>
      <c r="N32" s="59"/>
      <c r="O32" s="59"/>
      <c r="P32" s="59"/>
      <c r="Q32" s="59"/>
      <c r="R32" s="59"/>
      <c r="S32" s="59"/>
      <c r="T32" s="59"/>
      <c r="U32" s="59"/>
      <c r="V32" s="59"/>
      <c r="W32" s="59"/>
      <c r="X32" s="59"/>
      <c r="Y32" s="59"/>
      <c r="Z32" s="59"/>
    </row>
    <row r="33" spans="1:26">
      <c r="A33" s="59" t="s">
        <v>9</v>
      </c>
      <c r="B33" s="179" t="s">
        <v>1596</v>
      </c>
      <c r="C33" s="59"/>
      <c r="D33" s="59"/>
      <c r="E33" s="59"/>
      <c r="F33" s="59"/>
      <c r="G33" s="59"/>
      <c r="H33" s="59"/>
      <c r="I33" s="59"/>
      <c r="J33" s="59"/>
      <c r="K33" s="59"/>
      <c r="L33" s="59"/>
      <c r="M33" s="59"/>
      <c r="N33" s="59"/>
      <c r="O33" s="59"/>
      <c r="P33" s="59"/>
      <c r="Q33" s="59"/>
      <c r="R33" s="59"/>
      <c r="S33" s="59"/>
      <c r="T33" s="59"/>
      <c r="U33" s="59"/>
      <c r="V33" s="59"/>
      <c r="W33" s="59"/>
      <c r="X33" s="59"/>
      <c r="Y33" s="59"/>
      <c r="Z33" s="59"/>
    </row>
    <row r="34" spans="1:26">
      <c r="A34" s="59" t="s">
        <v>11</v>
      </c>
      <c r="B34" s="59" t="s">
        <v>1590</v>
      </c>
      <c r="C34" s="59"/>
      <c r="D34" s="59"/>
      <c r="E34" s="59"/>
      <c r="F34" s="59"/>
      <c r="G34" s="59"/>
      <c r="H34" s="59"/>
      <c r="I34" s="59"/>
      <c r="J34" s="59"/>
      <c r="K34" s="59"/>
      <c r="L34" s="59"/>
      <c r="M34" s="59"/>
      <c r="N34" s="59"/>
      <c r="O34" s="59"/>
      <c r="P34" s="59"/>
      <c r="Q34" s="59"/>
      <c r="R34" s="59"/>
      <c r="S34" s="59"/>
      <c r="T34" s="59"/>
      <c r="U34" s="59"/>
      <c r="V34" s="59"/>
      <c r="W34" s="59"/>
      <c r="X34" s="59"/>
      <c r="Y34" s="59"/>
      <c r="Z34" s="59"/>
    </row>
    <row r="35" spans="1:26">
      <c r="A35" s="59" t="s">
        <v>13</v>
      </c>
      <c r="B35" s="59" t="s">
        <v>59</v>
      </c>
      <c r="C35" s="59"/>
      <c r="D35" s="59"/>
      <c r="E35" s="59"/>
      <c r="F35" s="59"/>
      <c r="G35" s="59"/>
      <c r="H35" s="59"/>
      <c r="I35" s="59"/>
      <c r="J35" s="59"/>
      <c r="K35" s="59"/>
      <c r="L35" s="59"/>
      <c r="M35" s="59"/>
      <c r="N35" s="59"/>
      <c r="O35" s="59"/>
      <c r="P35" s="59"/>
      <c r="Q35" s="59"/>
      <c r="R35" s="59"/>
      <c r="S35" s="59"/>
      <c r="T35" s="59"/>
      <c r="U35" s="59"/>
      <c r="V35" s="59"/>
      <c r="W35" s="59"/>
      <c r="X35" s="59"/>
      <c r="Y35" s="59"/>
      <c r="Z35" s="59"/>
    </row>
    <row r="36" spans="1:26">
      <c r="A36" s="59" t="s">
        <v>15</v>
      </c>
      <c r="B36" s="59">
        <v>1</v>
      </c>
      <c r="C36" s="59"/>
      <c r="D36" s="59"/>
      <c r="E36" s="59"/>
      <c r="F36" s="59"/>
      <c r="G36" s="59"/>
      <c r="H36" s="59"/>
      <c r="I36" s="59"/>
      <c r="J36" s="59"/>
      <c r="K36" s="59"/>
      <c r="L36" s="59"/>
      <c r="M36" s="59"/>
      <c r="N36" s="59"/>
      <c r="O36" s="59"/>
      <c r="P36" s="59"/>
      <c r="Q36" s="59"/>
      <c r="R36" s="59"/>
      <c r="S36" s="59"/>
      <c r="T36" s="59"/>
      <c r="U36" s="59"/>
      <c r="V36" s="59"/>
      <c r="W36" s="59"/>
      <c r="X36" s="59"/>
      <c r="Y36" s="59"/>
      <c r="Z36" s="59"/>
    </row>
    <row r="37" spans="1:26">
      <c r="A37" s="59" t="s">
        <v>16</v>
      </c>
      <c r="B37" s="59" t="s">
        <v>17</v>
      </c>
      <c r="C37" s="59"/>
      <c r="D37" s="59"/>
      <c r="E37" s="59"/>
      <c r="F37" s="59"/>
      <c r="G37" s="59"/>
      <c r="H37" s="59"/>
      <c r="I37" s="59"/>
      <c r="J37" s="59"/>
      <c r="K37" s="59"/>
      <c r="L37" s="59"/>
      <c r="M37" s="59"/>
      <c r="N37" s="59"/>
      <c r="O37" s="59"/>
      <c r="P37" s="59"/>
      <c r="Q37" s="59"/>
      <c r="R37" s="59"/>
      <c r="S37" s="59"/>
      <c r="T37" s="59"/>
      <c r="U37" s="59"/>
      <c r="V37" s="59"/>
      <c r="W37" s="59"/>
      <c r="X37" s="59"/>
      <c r="Y37" s="59"/>
      <c r="Z37" s="59"/>
    </row>
    <row r="38" spans="1:26" ht="15.6">
      <c r="A38" s="59" t="s">
        <v>18</v>
      </c>
      <c r="B38" s="180" t="s">
        <v>18</v>
      </c>
      <c r="C38" s="59"/>
      <c r="D38" s="59"/>
      <c r="E38" s="59" t="s">
        <v>235</v>
      </c>
      <c r="F38" s="59"/>
      <c r="G38" s="59"/>
      <c r="H38" s="59"/>
      <c r="I38" s="59"/>
      <c r="J38" s="59"/>
      <c r="K38" s="59"/>
      <c r="L38" s="59"/>
      <c r="M38" s="59"/>
      <c r="N38" s="59"/>
      <c r="O38" s="59"/>
      <c r="P38" s="59"/>
      <c r="Q38" s="59"/>
      <c r="R38" s="59"/>
      <c r="S38" s="59"/>
      <c r="T38" s="59"/>
      <c r="U38" s="59"/>
      <c r="V38" s="59"/>
      <c r="W38" s="59"/>
      <c r="X38" s="59"/>
      <c r="Y38" s="59"/>
      <c r="Z38" s="59"/>
    </row>
    <row r="39" spans="1:26" ht="15.6">
      <c r="A39" s="181" t="s">
        <v>19</v>
      </c>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spans="1:26" ht="15.6">
      <c r="A40" s="181" t="s">
        <v>20</v>
      </c>
      <c r="B40" s="181" t="s">
        <v>21</v>
      </c>
      <c r="C40" s="181" t="s">
        <v>217</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702</v>
      </c>
      <c r="Q40" s="59"/>
      <c r="R40" s="59"/>
      <c r="S40" s="59"/>
      <c r="T40" s="59"/>
      <c r="U40" s="59"/>
      <c r="V40" s="59"/>
      <c r="W40" s="59"/>
      <c r="X40" s="59"/>
      <c r="Y40" s="59"/>
      <c r="Z40" s="59"/>
    </row>
    <row r="41" spans="1:26" ht="15.6">
      <c r="A41" s="180" t="s">
        <v>1597</v>
      </c>
      <c r="B41" s="180">
        <v>1</v>
      </c>
      <c r="C41" s="180"/>
      <c r="D41" s="180" t="s">
        <v>18</v>
      </c>
      <c r="E41" s="59" t="s">
        <v>2</v>
      </c>
      <c r="F41" s="59" t="s">
        <v>29</v>
      </c>
      <c r="G41" s="180" t="s">
        <v>59</v>
      </c>
      <c r="H41" s="59" t="s">
        <v>30</v>
      </c>
      <c r="I41" s="59">
        <v>0</v>
      </c>
      <c r="J41" s="180" t="s">
        <v>31</v>
      </c>
      <c r="K41" s="180" t="s">
        <v>31</v>
      </c>
      <c r="L41" s="180" t="s">
        <v>31</v>
      </c>
      <c r="M41" s="180" t="s">
        <v>31</v>
      </c>
      <c r="N41" s="180" t="s">
        <v>31</v>
      </c>
      <c r="O41" s="59"/>
      <c r="P41" s="59"/>
      <c r="Q41" s="59"/>
      <c r="R41" s="59"/>
      <c r="S41" s="59"/>
      <c r="T41" s="59"/>
      <c r="U41" s="59"/>
      <c r="V41" s="59"/>
      <c r="W41" s="59"/>
      <c r="X41" s="59"/>
      <c r="Y41" s="59"/>
      <c r="Z41" s="59"/>
    </row>
    <row r="42" spans="1:26" ht="15.6">
      <c r="A42" s="88" t="s">
        <v>1598</v>
      </c>
      <c r="B42">
        <v>-36149.760000000002</v>
      </c>
      <c r="C42" s="88"/>
      <c r="D42" s="180" t="s">
        <v>37</v>
      </c>
      <c r="E42" s="189" t="s">
        <v>40</v>
      </c>
      <c r="F42" s="59" t="s">
        <v>29</v>
      </c>
      <c r="G42" s="180" t="s">
        <v>82</v>
      </c>
      <c r="H42" s="59" t="s">
        <v>33</v>
      </c>
      <c r="I42" s="59">
        <v>0</v>
      </c>
      <c r="J42" s="180" t="s">
        <v>31</v>
      </c>
      <c r="K42" s="180" t="s">
        <v>31</v>
      </c>
      <c r="L42" s="180" t="s">
        <v>31</v>
      </c>
      <c r="M42" s="180" t="s">
        <v>31</v>
      </c>
      <c r="N42" s="180" t="s">
        <v>31</v>
      </c>
      <c r="O42" s="59"/>
      <c r="P42" s="59"/>
      <c r="Q42" s="59"/>
      <c r="R42" s="59"/>
      <c r="S42" s="59"/>
      <c r="T42" s="59"/>
      <c r="U42" s="59"/>
      <c r="V42" s="59"/>
      <c r="W42" s="59"/>
      <c r="X42" s="59"/>
      <c r="Y42" s="59"/>
      <c r="Z42" s="59"/>
    </row>
    <row r="43" spans="1:26" ht="15.6">
      <c r="A43" s="190" t="s">
        <v>1599</v>
      </c>
      <c r="B43" s="59">
        <f>B42*0.47</f>
        <v>-16990.387200000001</v>
      </c>
      <c r="C43" s="180"/>
      <c r="D43" s="180" t="s">
        <v>37</v>
      </c>
      <c r="E43" s="189" t="s">
        <v>40</v>
      </c>
      <c r="F43" s="59" t="s">
        <v>29</v>
      </c>
      <c r="G43" s="180" t="s">
        <v>59</v>
      </c>
      <c r="H43" s="59" t="s">
        <v>136</v>
      </c>
      <c r="I43" s="59">
        <v>0</v>
      </c>
      <c r="J43" s="180" t="s">
        <v>31</v>
      </c>
      <c r="K43" s="180" t="s">
        <v>31</v>
      </c>
      <c r="L43" s="180" t="s">
        <v>31</v>
      </c>
      <c r="M43" s="180" t="s">
        <v>31</v>
      </c>
      <c r="N43" s="180" t="s">
        <v>31</v>
      </c>
      <c r="O43" s="59"/>
      <c r="P43" s="59" t="s">
        <v>1600</v>
      </c>
      <c r="Q43" s="59"/>
      <c r="R43" s="59"/>
      <c r="S43" s="59"/>
      <c r="T43" s="59"/>
      <c r="U43" s="59"/>
      <c r="V43" s="59"/>
      <c r="W43" s="59"/>
      <c r="X43" s="59"/>
      <c r="Y43" s="59"/>
      <c r="Z43" s="59"/>
    </row>
    <row r="44" spans="1:26" ht="15.6">
      <c r="A44" s="59" t="s">
        <v>403</v>
      </c>
      <c r="B44" s="59">
        <f>-(B42-B43)</f>
        <v>19159.372800000001</v>
      </c>
      <c r="C44" s="59"/>
      <c r="D44" s="59" t="s">
        <v>37</v>
      </c>
      <c r="E44" s="189" t="s">
        <v>40</v>
      </c>
      <c r="F44" s="59" t="s">
        <v>1592</v>
      </c>
      <c r="G44" s="59" t="s">
        <v>59</v>
      </c>
      <c r="H44" s="59" t="s">
        <v>33</v>
      </c>
      <c r="I44" s="59">
        <v>0</v>
      </c>
      <c r="J44" s="59" t="s">
        <v>31</v>
      </c>
      <c r="K44" s="59" t="s">
        <v>31</v>
      </c>
      <c r="L44" s="59" t="s">
        <v>31</v>
      </c>
      <c r="M44" s="59" t="s">
        <v>31</v>
      </c>
      <c r="N44" s="59" t="s">
        <v>31</v>
      </c>
      <c r="O44" s="180"/>
      <c r="P44" s="59"/>
      <c r="Q44" s="59"/>
      <c r="R44" s="59"/>
      <c r="S44" s="59"/>
      <c r="T44" s="59"/>
      <c r="U44" s="59"/>
      <c r="V44" s="59"/>
      <c r="W44" s="59"/>
      <c r="X44" s="59"/>
      <c r="Y44" s="59"/>
      <c r="Z44" s="59"/>
    </row>
    <row r="45" spans="1:26" ht="15.6">
      <c r="A45" s="178" t="s">
        <v>5</v>
      </c>
      <c r="B45" s="178" t="str">
        <f>A55</f>
        <v>treatment of electronic components and cables ,Battery charging station, Gt-bat, Long-term</v>
      </c>
      <c r="C45" s="178"/>
      <c r="D45" s="69"/>
      <c r="E45" s="144"/>
      <c r="F45" s="144"/>
      <c r="G45" s="144"/>
      <c r="H45" s="144"/>
      <c r="I45" s="144"/>
      <c r="J45" s="144"/>
      <c r="K45" s="144"/>
      <c r="L45" s="144"/>
      <c r="M45" s="144"/>
      <c r="N45" s="144"/>
      <c r="O45" s="144"/>
      <c r="P45" s="144"/>
      <c r="Q45" s="144"/>
      <c r="R45" s="144"/>
      <c r="S45" s="144"/>
      <c r="T45" s="144"/>
      <c r="U45" s="144"/>
      <c r="V45" s="144"/>
      <c r="W45" s="144"/>
      <c r="X45" s="144"/>
      <c r="Y45" s="144"/>
      <c r="Z45" s="144"/>
    </row>
    <row r="46" spans="1:26">
      <c r="A46" s="59" t="s">
        <v>7</v>
      </c>
      <c r="B46" s="59" t="s">
        <v>1588</v>
      </c>
      <c r="C46" s="59"/>
      <c r="D46" s="59"/>
      <c r="E46" s="59"/>
      <c r="F46" s="59"/>
      <c r="G46" s="59"/>
      <c r="H46" s="59"/>
      <c r="I46" s="59"/>
      <c r="J46" s="59"/>
      <c r="K46" s="59"/>
      <c r="L46" s="59"/>
      <c r="M46" s="59"/>
      <c r="N46" s="59"/>
      <c r="O46" s="59"/>
      <c r="P46" s="59"/>
      <c r="Q46" s="59"/>
      <c r="R46" s="59"/>
      <c r="S46" s="59"/>
      <c r="T46" s="59"/>
      <c r="U46" s="59"/>
      <c r="V46" s="59"/>
      <c r="W46" s="59"/>
      <c r="X46" s="59"/>
      <c r="Y46" s="59"/>
      <c r="Z46" s="59"/>
    </row>
    <row r="47" spans="1:26">
      <c r="A47" s="59" t="s">
        <v>9</v>
      </c>
      <c r="B47" s="179" t="s">
        <v>1601</v>
      </c>
      <c r="C47" s="59"/>
      <c r="D47" s="59"/>
      <c r="E47" s="59"/>
      <c r="F47" s="59"/>
      <c r="G47" s="59"/>
      <c r="H47" s="59"/>
      <c r="I47" s="59"/>
      <c r="J47" s="59"/>
      <c r="K47" s="59"/>
      <c r="L47" s="59"/>
      <c r="M47" s="59"/>
      <c r="N47" s="59"/>
      <c r="O47" s="59"/>
      <c r="P47" s="59"/>
      <c r="Q47" s="59"/>
      <c r="R47" s="59"/>
      <c r="S47" s="59"/>
      <c r="T47" s="59"/>
      <c r="U47" s="59"/>
      <c r="V47" s="59"/>
      <c r="W47" s="59"/>
      <c r="X47" s="59"/>
      <c r="Y47" s="59"/>
      <c r="Z47" s="59"/>
    </row>
    <row r="48" spans="1:26">
      <c r="A48" s="59" t="s">
        <v>11</v>
      </c>
      <c r="B48" s="59" t="s">
        <v>1590</v>
      </c>
      <c r="C48" s="59"/>
      <c r="D48" s="59"/>
      <c r="E48" s="59"/>
      <c r="F48" s="59"/>
      <c r="G48" s="59"/>
      <c r="H48" s="59"/>
      <c r="I48" s="59"/>
      <c r="J48" s="59"/>
      <c r="K48" s="59"/>
      <c r="L48" s="59"/>
      <c r="M48" s="59"/>
      <c r="N48" s="59"/>
      <c r="O48" s="59"/>
      <c r="P48" s="59"/>
      <c r="Q48" s="59"/>
      <c r="R48" s="59"/>
      <c r="S48" s="59"/>
      <c r="T48" s="59"/>
      <c r="U48" s="59"/>
      <c r="V48" s="59"/>
      <c r="W48" s="59"/>
      <c r="X48" s="59"/>
      <c r="Y48" s="59"/>
      <c r="Z48" s="59"/>
    </row>
    <row r="49" spans="1:26">
      <c r="A49" s="59" t="s">
        <v>13</v>
      </c>
      <c r="B49" s="59" t="s">
        <v>59</v>
      </c>
      <c r="C49" s="59"/>
      <c r="D49" s="59"/>
      <c r="E49" s="59"/>
      <c r="F49" s="59"/>
      <c r="G49" s="59"/>
      <c r="H49" s="59"/>
      <c r="I49" s="59"/>
      <c r="J49" s="59"/>
      <c r="K49" s="59"/>
      <c r="L49" s="59"/>
      <c r="M49" s="59"/>
      <c r="N49" s="59"/>
      <c r="O49" s="59"/>
      <c r="P49" s="59"/>
      <c r="Q49" s="59"/>
      <c r="R49" s="59"/>
      <c r="S49" s="59"/>
      <c r="T49" s="59"/>
      <c r="U49" s="59"/>
      <c r="V49" s="59"/>
      <c r="W49" s="59"/>
      <c r="X49" s="59"/>
      <c r="Y49" s="59"/>
      <c r="Z49" s="59"/>
    </row>
    <row r="50" spans="1:26">
      <c r="A50" s="59" t="s">
        <v>15</v>
      </c>
      <c r="B50" s="59">
        <v>1</v>
      </c>
      <c r="C50" s="59"/>
      <c r="D50" s="59"/>
      <c r="E50" s="59"/>
      <c r="F50" s="59"/>
      <c r="G50" s="59"/>
      <c r="H50" s="59"/>
      <c r="I50" s="59"/>
      <c r="J50" s="59"/>
      <c r="K50" s="59"/>
      <c r="L50" s="59"/>
      <c r="M50" s="59"/>
      <c r="N50" s="59"/>
      <c r="O50" s="59"/>
      <c r="P50" s="59"/>
      <c r="Q50" s="59"/>
      <c r="R50" s="59"/>
      <c r="S50" s="59"/>
      <c r="T50" s="59"/>
      <c r="U50" s="59"/>
      <c r="V50" s="59"/>
      <c r="W50" s="59"/>
      <c r="X50" s="59"/>
      <c r="Y50" s="59"/>
      <c r="Z50" s="59"/>
    </row>
    <row r="51" spans="1:26">
      <c r="A51" s="59" t="s">
        <v>16</v>
      </c>
      <c r="B51" s="59" t="s">
        <v>17</v>
      </c>
      <c r="C51" s="59"/>
      <c r="D51" s="59"/>
      <c r="E51" s="59"/>
      <c r="F51" s="59"/>
      <c r="G51" s="59"/>
      <c r="H51" s="59"/>
      <c r="I51" s="59"/>
      <c r="J51" s="59"/>
      <c r="K51" s="59"/>
      <c r="L51" s="59"/>
      <c r="M51" s="59"/>
      <c r="N51" s="59"/>
      <c r="O51" s="59"/>
      <c r="P51" s="59"/>
      <c r="Q51" s="59"/>
      <c r="R51" s="59"/>
      <c r="S51" s="59"/>
      <c r="T51" s="59"/>
      <c r="U51" s="59"/>
      <c r="V51" s="59"/>
      <c r="W51" s="59"/>
      <c r="X51" s="59"/>
      <c r="Y51" s="59"/>
      <c r="Z51" s="59"/>
    </row>
    <row r="52" spans="1:26" ht="15.6">
      <c r="A52" s="59" t="s">
        <v>18</v>
      </c>
      <c r="B52" s="180" t="s">
        <v>18</v>
      </c>
      <c r="C52" s="59"/>
      <c r="D52" s="59"/>
      <c r="E52" s="59" t="s">
        <v>235</v>
      </c>
      <c r="F52" s="59"/>
      <c r="G52" s="59"/>
      <c r="H52" s="59"/>
      <c r="I52" s="59"/>
      <c r="J52" s="59"/>
      <c r="K52" s="59"/>
      <c r="L52" s="59"/>
      <c r="M52" s="59"/>
      <c r="N52" s="59"/>
      <c r="O52" s="59"/>
      <c r="P52" s="59"/>
      <c r="Q52" s="59"/>
      <c r="R52" s="59"/>
      <c r="S52" s="59"/>
      <c r="T52" s="59"/>
      <c r="U52" s="59"/>
      <c r="V52" s="59"/>
      <c r="W52" s="59"/>
      <c r="X52" s="59"/>
      <c r="Y52" s="59"/>
      <c r="Z52" s="59"/>
    </row>
    <row r="53" spans="1:26" ht="15.6">
      <c r="A53" s="181" t="s">
        <v>19</v>
      </c>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ht="15.6">
      <c r="A54" s="181" t="s">
        <v>20</v>
      </c>
      <c r="B54" s="181" t="s">
        <v>21</v>
      </c>
      <c r="C54" s="181" t="s">
        <v>217</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702</v>
      </c>
      <c r="Q54" s="59"/>
      <c r="R54" s="59"/>
      <c r="S54" s="59"/>
      <c r="T54" s="59"/>
      <c r="U54" s="59"/>
      <c r="V54" s="59"/>
      <c r="W54" s="59"/>
      <c r="X54" s="59"/>
      <c r="Y54" s="59"/>
      <c r="Z54" s="59"/>
    </row>
    <row r="55" spans="1:26" ht="15.6">
      <c r="A55" s="180" t="s">
        <v>1602</v>
      </c>
      <c r="B55" s="180">
        <v>1</v>
      </c>
      <c r="C55" s="180"/>
      <c r="D55" s="180" t="s">
        <v>18</v>
      </c>
      <c r="E55" s="59" t="s">
        <v>2</v>
      </c>
      <c r="F55" s="59" t="s">
        <v>29</v>
      </c>
      <c r="G55" s="180" t="s">
        <v>59</v>
      </c>
      <c r="H55" s="59" t="s">
        <v>30</v>
      </c>
      <c r="I55" s="59">
        <v>0</v>
      </c>
      <c r="J55" s="180" t="s">
        <v>31</v>
      </c>
      <c r="K55" s="180" t="s">
        <v>31</v>
      </c>
      <c r="L55" s="180" t="s">
        <v>31</v>
      </c>
      <c r="M55" s="180" t="s">
        <v>31</v>
      </c>
      <c r="N55" s="180" t="s">
        <v>31</v>
      </c>
      <c r="O55" s="59"/>
      <c r="P55" s="59"/>
      <c r="Q55" s="59"/>
      <c r="R55" s="59"/>
      <c r="S55" s="59"/>
      <c r="T55" s="59"/>
      <c r="U55" s="59"/>
      <c r="V55" s="59"/>
      <c r="W55" s="59"/>
      <c r="X55" s="59"/>
      <c r="Y55" s="59"/>
      <c r="Z55" s="59"/>
    </row>
    <row r="56" spans="1:26" ht="15.6">
      <c r="A56" s="59" t="s">
        <v>395</v>
      </c>
      <c r="B56">
        <v>440</v>
      </c>
      <c r="D56" t="s">
        <v>37</v>
      </c>
      <c r="E56" s="189" t="s">
        <v>40</v>
      </c>
      <c r="F56" t="s">
        <v>29</v>
      </c>
      <c r="G56" t="s">
        <v>82</v>
      </c>
      <c r="H56" t="s">
        <v>33</v>
      </c>
      <c r="I56">
        <v>0</v>
      </c>
      <c r="J56" s="180" t="s">
        <v>31</v>
      </c>
      <c r="K56" s="180" t="s">
        <v>31</v>
      </c>
      <c r="L56" s="180" t="s">
        <v>31</v>
      </c>
      <c r="M56" s="180" t="s">
        <v>31</v>
      </c>
      <c r="N56" s="180" t="s">
        <v>31</v>
      </c>
    </row>
    <row r="57" spans="1:26" ht="15.6">
      <c r="A57" s="191" t="s">
        <v>707</v>
      </c>
      <c r="B57">
        <f>29679/2</f>
        <v>14839.5</v>
      </c>
      <c r="D57" t="s">
        <v>37</v>
      </c>
      <c r="E57" s="189" t="s">
        <v>40</v>
      </c>
      <c r="F57" s="59" t="s">
        <v>29</v>
      </c>
      <c r="G57" t="s">
        <v>59</v>
      </c>
      <c r="H57" s="59" t="s">
        <v>136</v>
      </c>
      <c r="I57">
        <v>0</v>
      </c>
      <c r="J57" s="180" t="s">
        <v>31</v>
      </c>
      <c r="K57" s="180" t="s">
        <v>31</v>
      </c>
      <c r="L57" s="180" t="s">
        <v>31</v>
      </c>
      <c r="M57" s="180" t="s">
        <v>31</v>
      </c>
      <c r="N57" s="180" t="s">
        <v>31</v>
      </c>
      <c r="O57" t="s">
        <v>1603</v>
      </c>
    </row>
    <row r="58" spans="1:26" ht="15.6">
      <c r="A58" s="178" t="s">
        <v>5</v>
      </c>
      <c r="B58" s="178" t="str">
        <f>A68</f>
        <v>treatment of remaining components,Battery charging station, GT-bat, Long-term</v>
      </c>
      <c r="C58" s="178"/>
      <c r="D58" s="69"/>
      <c r="E58" s="144"/>
      <c r="F58" s="144"/>
      <c r="G58" s="144"/>
      <c r="H58" s="144"/>
      <c r="I58" s="508"/>
      <c r="J58" s="508"/>
      <c r="K58" s="144"/>
      <c r="L58" s="144"/>
      <c r="M58" s="144"/>
      <c r="N58" s="144"/>
      <c r="O58" s="144"/>
      <c r="P58" s="144"/>
      <c r="Q58" s="144"/>
    </row>
    <row r="59" spans="1:26">
      <c r="A59" s="59" t="s">
        <v>7</v>
      </c>
      <c r="B59" s="59" t="s">
        <v>1559</v>
      </c>
      <c r="C59" s="59"/>
      <c r="D59" s="59"/>
      <c r="E59" s="59"/>
      <c r="F59" s="59"/>
      <c r="G59" s="59"/>
      <c r="H59" s="59"/>
      <c r="I59" s="509"/>
      <c r="J59" s="509"/>
      <c r="K59" s="59"/>
      <c r="L59" s="59"/>
      <c r="M59" s="59"/>
      <c r="N59" s="59"/>
      <c r="O59" s="59"/>
      <c r="P59" s="59"/>
      <c r="Q59" s="59"/>
    </row>
    <row r="60" spans="1:26">
      <c r="A60" s="59" t="s">
        <v>9</v>
      </c>
      <c r="B60" s="179" t="s">
        <v>1604</v>
      </c>
      <c r="C60" s="59"/>
      <c r="D60" s="59"/>
      <c r="E60" s="59"/>
      <c r="F60" s="59"/>
      <c r="G60" s="59"/>
      <c r="H60" s="59"/>
      <c r="I60" s="509"/>
      <c r="J60" s="509"/>
      <c r="K60" s="59"/>
      <c r="L60" s="59"/>
      <c r="M60" s="59"/>
      <c r="N60" s="59"/>
      <c r="O60" s="59"/>
      <c r="P60" s="59"/>
      <c r="Q60" s="59"/>
    </row>
    <row r="61" spans="1:26">
      <c r="A61" s="59" t="s">
        <v>11</v>
      </c>
      <c r="B61" s="59" t="s">
        <v>1578</v>
      </c>
      <c r="C61" s="59"/>
      <c r="D61" s="59"/>
      <c r="E61" s="59"/>
      <c r="F61" s="59"/>
      <c r="G61" s="59"/>
      <c r="H61" s="59"/>
      <c r="I61" s="509"/>
      <c r="J61" s="509"/>
      <c r="K61" s="59"/>
      <c r="L61" s="59"/>
      <c r="M61" s="59"/>
      <c r="N61" s="59"/>
      <c r="O61" s="59"/>
      <c r="P61" s="59"/>
      <c r="Q61" s="59"/>
    </row>
    <row r="62" spans="1:26">
      <c r="A62" s="59" t="s">
        <v>13</v>
      </c>
      <c r="B62" s="59" t="s">
        <v>59</v>
      </c>
      <c r="C62" s="59"/>
      <c r="D62" s="59"/>
      <c r="E62" s="59"/>
      <c r="F62" s="59"/>
      <c r="G62" s="59"/>
      <c r="H62" s="59"/>
      <c r="I62" s="509"/>
      <c r="J62" s="509"/>
      <c r="K62" s="59"/>
      <c r="L62" s="59"/>
      <c r="M62" s="59"/>
      <c r="N62" s="59"/>
      <c r="O62" s="59"/>
      <c r="P62" s="59"/>
      <c r="Q62" s="59"/>
    </row>
    <row r="63" spans="1:26">
      <c r="A63" s="59" t="s">
        <v>15</v>
      </c>
      <c r="B63" s="59">
        <v>1</v>
      </c>
      <c r="C63" s="59"/>
      <c r="D63" s="59"/>
      <c r="E63" s="59"/>
      <c r="F63" s="59"/>
      <c r="G63" s="59"/>
      <c r="H63" s="59"/>
      <c r="I63" s="509"/>
      <c r="J63" s="509"/>
      <c r="K63" s="59"/>
      <c r="L63" s="59"/>
      <c r="M63" s="59"/>
      <c r="N63" s="59"/>
      <c r="O63" s="59"/>
      <c r="P63" s="59"/>
      <c r="Q63" s="59"/>
    </row>
    <row r="64" spans="1:26">
      <c r="A64" s="59" t="s">
        <v>16</v>
      </c>
      <c r="B64" s="59" t="s">
        <v>17</v>
      </c>
      <c r="C64" s="59"/>
      <c r="D64" s="59"/>
      <c r="E64" s="59"/>
      <c r="F64" s="59"/>
      <c r="G64" s="59"/>
      <c r="H64" s="59"/>
      <c r="I64" s="509"/>
      <c r="J64" s="509"/>
      <c r="K64" s="59"/>
      <c r="L64" s="59"/>
      <c r="M64" s="59"/>
      <c r="N64" s="59"/>
      <c r="O64" s="59"/>
      <c r="P64" s="59"/>
      <c r="Q64" s="59"/>
    </row>
    <row r="65" spans="1:17">
      <c r="A65" s="59" t="s">
        <v>18</v>
      </c>
      <c r="B65" s="59" t="s">
        <v>18</v>
      </c>
      <c r="C65" s="59"/>
      <c r="D65" s="59"/>
      <c r="E65" s="59" t="s">
        <v>235</v>
      </c>
      <c r="F65" s="59"/>
      <c r="G65" s="59"/>
      <c r="H65" s="59"/>
      <c r="I65" s="509"/>
      <c r="J65" s="509"/>
      <c r="K65" s="59"/>
      <c r="L65" s="59"/>
      <c r="M65" s="59"/>
      <c r="N65" s="59"/>
      <c r="O65" s="59"/>
      <c r="P65" s="59"/>
      <c r="Q65" s="59"/>
    </row>
    <row r="66" spans="1:17" ht="15.6">
      <c r="A66" s="181" t="s">
        <v>19</v>
      </c>
      <c r="B66" s="59"/>
      <c r="C66" s="59"/>
      <c r="D66" s="59"/>
      <c r="E66" s="59"/>
      <c r="F66" s="59"/>
      <c r="G66" s="59"/>
      <c r="H66" s="59"/>
      <c r="I66" s="509"/>
      <c r="J66" s="509"/>
      <c r="K66" s="59"/>
      <c r="L66" s="59"/>
      <c r="M66" s="59"/>
      <c r="N66" s="59"/>
      <c r="O66" s="59"/>
      <c r="P66" s="59"/>
      <c r="Q66" s="59"/>
    </row>
    <row r="67" spans="1:17" ht="15.6">
      <c r="A67" s="181" t="s">
        <v>20</v>
      </c>
      <c r="B67" s="181" t="s">
        <v>21</v>
      </c>
      <c r="C67" s="181" t="s">
        <v>217</v>
      </c>
      <c r="D67" s="181" t="s">
        <v>18</v>
      </c>
      <c r="E67" s="181" t="s">
        <v>22</v>
      </c>
      <c r="F67" s="181" t="s">
        <v>7</v>
      </c>
      <c r="G67" s="181" t="s">
        <v>13</v>
      </c>
      <c r="H67" s="181" t="s">
        <v>16</v>
      </c>
      <c r="I67" s="181" t="s">
        <v>23</v>
      </c>
      <c r="J67" s="181" t="s">
        <v>24</v>
      </c>
      <c r="K67" s="181" t="s">
        <v>25</v>
      </c>
      <c r="L67" s="181" t="s">
        <v>26</v>
      </c>
      <c r="M67" s="181" t="s">
        <v>27</v>
      </c>
      <c r="N67" s="181" t="s">
        <v>28</v>
      </c>
      <c r="O67" s="181" t="s">
        <v>11</v>
      </c>
      <c r="P67" s="181" t="s">
        <v>702</v>
      </c>
      <c r="Q67" s="59"/>
    </row>
    <row r="68" spans="1:17" ht="15.6">
      <c r="A68" s="180" t="s">
        <v>1605</v>
      </c>
      <c r="B68" s="180">
        <v>1</v>
      </c>
      <c r="C68" s="180"/>
      <c r="D68" s="180" t="s">
        <v>18</v>
      </c>
      <c r="E68" s="59" t="s">
        <v>2</v>
      </c>
      <c r="F68" s="59" t="s">
        <v>1557</v>
      </c>
      <c r="G68" s="180" t="s">
        <v>59</v>
      </c>
      <c r="H68" s="59" t="s">
        <v>30</v>
      </c>
      <c r="I68" s="59">
        <v>0</v>
      </c>
      <c r="J68" s="180" t="s">
        <v>31</v>
      </c>
      <c r="K68" s="180" t="s">
        <v>31</v>
      </c>
      <c r="L68" s="180" t="s">
        <v>31</v>
      </c>
      <c r="M68" s="180" t="s">
        <v>31</v>
      </c>
      <c r="N68" s="180" t="s">
        <v>31</v>
      </c>
      <c r="O68" s="59"/>
      <c r="P68" s="59"/>
      <c r="Q68" s="59"/>
    </row>
    <row r="69" spans="1:17" ht="15.6">
      <c r="A69" s="189" t="s">
        <v>312</v>
      </c>
      <c r="B69" s="59">
        <v>-490</v>
      </c>
      <c r="C69" s="59"/>
      <c r="D69" s="59" t="s">
        <v>37</v>
      </c>
      <c r="E69" s="192" t="s">
        <v>40</v>
      </c>
      <c r="F69" s="59" t="s">
        <v>1557</v>
      </c>
      <c r="G69" s="59" t="s">
        <v>82</v>
      </c>
      <c r="H69" s="59" t="s">
        <v>33</v>
      </c>
      <c r="I69" s="59">
        <v>0</v>
      </c>
      <c r="J69" s="180" t="s">
        <v>31</v>
      </c>
      <c r="K69" s="180" t="s">
        <v>31</v>
      </c>
      <c r="L69" s="180" t="s">
        <v>31</v>
      </c>
      <c r="M69" s="180" t="s">
        <v>31</v>
      </c>
      <c r="N69" s="180" t="s">
        <v>31</v>
      </c>
      <c r="O69" s="180" t="s">
        <v>1579</v>
      </c>
      <c r="P69" s="59"/>
      <c r="Q69" s="59"/>
    </row>
  </sheetData>
  <mergeCells count="9">
    <mergeCell ref="I64:J64"/>
    <mergeCell ref="I65:J65"/>
    <mergeCell ref="I66:J66"/>
    <mergeCell ref="I58:J58"/>
    <mergeCell ref="I59:J59"/>
    <mergeCell ref="I60:J60"/>
    <mergeCell ref="I61:J61"/>
    <mergeCell ref="I62:J62"/>
    <mergeCell ref="I63:J63"/>
  </mergeCells>
  <pageMargins left="0.7" right="0.7" top="0.75" bottom="0.75" header="0.3" footer="0.3"/>
  <pageSetup paperSize="9" orientation="portrai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CE2E5-6498-421E-BE3F-923DCB282818}">
  <dimension ref="A1:P120"/>
  <sheetViews>
    <sheetView topLeftCell="A84" zoomScale="70" zoomScaleNormal="70" workbookViewId="0">
      <selection activeCell="A2" sqref="A2:XFD3"/>
    </sheetView>
  </sheetViews>
  <sheetFormatPr defaultColWidth="8.7109375" defaultRowHeight="14.45"/>
  <cols>
    <col min="1" max="1" width="53.42578125" style="50" customWidth="1"/>
    <col min="2" max="3" width="25.85546875" style="50" customWidth="1"/>
    <col min="4" max="4" width="10.140625" style="50" customWidth="1"/>
    <col min="5" max="5" width="47" style="50" customWidth="1"/>
    <col min="6" max="6" width="11" style="50" customWidth="1"/>
    <col min="7" max="14" width="8.7109375" style="50"/>
    <col min="15" max="15" width="47.85546875" style="50" customWidth="1"/>
    <col min="16" max="16" width="40.140625" style="50" bestFit="1" customWidth="1"/>
    <col min="17" max="16384" width="8.7109375" style="50"/>
  </cols>
  <sheetData>
    <row r="1" spans="1:16">
      <c r="A1" s="50" t="s">
        <v>0</v>
      </c>
      <c r="B1" s="50">
        <v>14</v>
      </c>
      <c r="D1" s="51" t="s">
        <v>212</v>
      </c>
    </row>
    <row r="2" spans="1:16" s="55" customFormat="1" ht="15.6">
      <c r="A2" s="53" t="s">
        <v>5</v>
      </c>
      <c r="B2" s="53" t="s">
        <v>1606</v>
      </c>
      <c r="C2" s="53"/>
      <c r="D2" s="54"/>
    </row>
    <row r="3" spans="1:16">
      <c r="A3" s="50" t="s">
        <v>7</v>
      </c>
      <c r="B3" s="50" t="s">
        <v>1452</v>
      </c>
    </row>
    <row r="4" spans="1:16">
      <c r="A4" s="50" t="s">
        <v>9</v>
      </c>
      <c r="B4" s="50" t="s">
        <v>1607</v>
      </c>
    </row>
    <row r="5" spans="1:16">
      <c r="A5" s="50" t="s">
        <v>11</v>
      </c>
      <c r="B5" s="50" t="s">
        <v>231</v>
      </c>
    </row>
    <row r="6" spans="1:16">
      <c r="A6" s="50" t="s">
        <v>13</v>
      </c>
      <c r="B6" s="50" t="s">
        <v>59</v>
      </c>
    </row>
    <row r="7" spans="1:16">
      <c r="A7" s="50" t="s">
        <v>15</v>
      </c>
      <c r="B7" s="50">
        <v>1</v>
      </c>
    </row>
    <row r="8" spans="1:16">
      <c r="A8" s="50" t="s">
        <v>16</v>
      </c>
      <c r="B8" s="50" t="s">
        <v>17</v>
      </c>
    </row>
    <row r="9" spans="1:16">
      <c r="A9" s="50" t="s">
        <v>18</v>
      </c>
      <c r="B9" s="50" t="s">
        <v>18</v>
      </c>
    </row>
    <row r="10" spans="1:16" ht="15.6">
      <c r="A10" s="52" t="s">
        <v>19</v>
      </c>
    </row>
    <row r="11" spans="1:16" ht="15.6">
      <c r="A11" s="52" t="s">
        <v>20</v>
      </c>
      <c r="B11" s="52" t="s">
        <v>21</v>
      </c>
      <c r="C11" s="52" t="s">
        <v>217</v>
      </c>
      <c r="D11" s="52" t="s">
        <v>18</v>
      </c>
      <c r="E11" s="52" t="s">
        <v>22</v>
      </c>
      <c r="F11" s="52" t="s">
        <v>7</v>
      </c>
      <c r="G11" s="52" t="s">
        <v>13</v>
      </c>
      <c r="H11" s="52" t="s">
        <v>16</v>
      </c>
      <c r="I11" s="52" t="s">
        <v>23</v>
      </c>
      <c r="J11" s="52" t="s">
        <v>24</v>
      </c>
      <c r="K11" s="52" t="s">
        <v>25</v>
      </c>
      <c r="L11" s="52" t="s">
        <v>26</v>
      </c>
      <c r="M11" s="52" t="s">
        <v>27</v>
      </c>
      <c r="N11" s="52" t="s">
        <v>28</v>
      </c>
      <c r="O11" s="52" t="s">
        <v>9</v>
      </c>
      <c r="P11" s="52" t="s">
        <v>11</v>
      </c>
    </row>
    <row r="12" spans="1:16" ht="15.6">
      <c r="A12" s="50" t="str">
        <f>B2</f>
        <v>production of casing</v>
      </c>
      <c r="B12" s="50">
        <f>B7</f>
        <v>1</v>
      </c>
      <c r="D12" s="50" t="str">
        <f>B9</f>
        <v>unit</v>
      </c>
      <c r="E12" s="56" t="s">
        <v>2</v>
      </c>
      <c r="F12" s="50" t="str">
        <f>B3</f>
        <v>airport</v>
      </c>
      <c r="G12" s="50" t="s">
        <v>59</v>
      </c>
      <c r="H12" s="50" t="s">
        <v>30</v>
      </c>
      <c r="I12" s="50">
        <v>0</v>
      </c>
      <c r="J12" s="56" t="s">
        <v>31</v>
      </c>
      <c r="K12" s="56" t="s">
        <v>31</v>
      </c>
      <c r="L12" s="56" t="s">
        <v>31</v>
      </c>
      <c r="M12" s="56" t="s">
        <v>31</v>
      </c>
      <c r="N12" s="56" t="s">
        <v>31</v>
      </c>
      <c r="O12" s="50" t="str">
        <f>B4</f>
        <v>B6F596DBDD1844EE930544B90A4858B8</v>
      </c>
      <c r="P12" s="56" t="s">
        <v>1608</v>
      </c>
    </row>
    <row r="13" spans="1:16" ht="15.6">
      <c r="A13" s="50" t="s">
        <v>703</v>
      </c>
      <c r="B13" s="50">
        <v>2494.8229080000001</v>
      </c>
      <c r="D13" s="50" t="s">
        <v>37</v>
      </c>
      <c r="E13" s="57" t="s">
        <v>40</v>
      </c>
      <c r="F13" s="50" t="s">
        <v>29</v>
      </c>
      <c r="G13" s="50" t="s">
        <v>59</v>
      </c>
      <c r="H13" s="50" t="s">
        <v>33</v>
      </c>
      <c r="I13" s="50">
        <v>2</v>
      </c>
      <c r="J13" s="56">
        <f>LN(B13)</f>
        <v>7.8219730269089931</v>
      </c>
      <c r="K13" s="56">
        <v>0.34985711400000002</v>
      </c>
      <c r="L13" s="56" t="s">
        <v>31</v>
      </c>
      <c r="M13" s="56" t="s">
        <v>31</v>
      </c>
      <c r="N13" s="56" t="s">
        <v>31</v>
      </c>
      <c r="O13" s="50" t="s">
        <v>1609</v>
      </c>
      <c r="P13" s="50" t="s">
        <v>1610</v>
      </c>
    </row>
    <row r="14" spans="1:16" s="55" customFormat="1" ht="15.6">
      <c r="A14" s="53" t="s">
        <v>5</v>
      </c>
      <c r="B14" s="53" t="s">
        <v>1611</v>
      </c>
      <c r="C14" s="53"/>
      <c r="D14" s="54" t="s">
        <v>386</v>
      </c>
    </row>
    <row r="15" spans="1:16">
      <c r="A15" s="50" t="s">
        <v>7</v>
      </c>
      <c r="B15" s="50" t="s">
        <v>1452</v>
      </c>
    </row>
    <row r="16" spans="1:16">
      <c r="A16" s="50" t="s">
        <v>9</v>
      </c>
      <c r="B16" s="50" t="s">
        <v>1612</v>
      </c>
    </row>
    <row r="17" spans="1:16">
      <c r="A17" s="50" t="s">
        <v>11</v>
      </c>
      <c r="B17" s="50" t="s">
        <v>231</v>
      </c>
    </row>
    <row r="18" spans="1:16">
      <c r="A18" s="50" t="s">
        <v>13</v>
      </c>
      <c r="B18" s="50" t="s">
        <v>59</v>
      </c>
    </row>
    <row r="19" spans="1:16">
      <c r="A19" s="50" t="s">
        <v>15</v>
      </c>
      <c r="B19" s="50">
        <v>1</v>
      </c>
    </row>
    <row r="20" spans="1:16">
      <c r="A20" s="50" t="s">
        <v>16</v>
      </c>
      <c r="B20" s="50" t="s">
        <v>17</v>
      </c>
    </row>
    <row r="21" spans="1:16">
      <c r="A21" s="50" t="s">
        <v>18</v>
      </c>
      <c r="B21" s="50" t="s">
        <v>18</v>
      </c>
      <c r="E21" s="50" t="s">
        <v>235</v>
      </c>
    </row>
    <row r="22" spans="1:16" ht="15.6">
      <c r="A22" s="52" t="s">
        <v>19</v>
      </c>
    </row>
    <row r="23" spans="1:16" ht="15.6">
      <c r="A23" s="52" t="s">
        <v>20</v>
      </c>
      <c r="B23" s="52" t="s">
        <v>21</v>
      </c>
      <c r="C23" s="52" t="s">
        <v>217</v>
      </c>
      <c r="D23" s="52" t="s">
        <v>18</v>
      </c>
      <c r="E23" s="52" t="s">
        <v>22</v>
      </c>
      <c r="F23" s="52" t="s">
        <v>7</v>
      </c>
      <c r="G23" s="52" t="s">
        <v>13</v>
      </c>
      <c r="H23" s="52" t="s">
        <v>16</v>
      </c>
      <c r="I23" s="52" t="s">
        <v>23</v>
      </c>
      <c r="J23" s="52" t="s">
        <v>24</v>
      </c>
      <c r="K23" s="52" t="s">
        <v>25</v>
      </c>
      <c r="L23" s="52" t="s">
        <v>26</v>
      </c>
      <c r="M23" s="52" t="s">
        <v>27</v>
      </c>
      <c r="N23" s="52" t="s">
        <v>28</v>
      </c>
      <c r="O23" s="52" t="s">
        <v>9</v>
      </c>
      <c r="P23" s="52" t="s">
        <v>11</v>
      </c>
    </row>
    <row r="24" spans="1:16" ht="15.6">
      <c r="A24" s="50" t="str">
        <f>B14</f>
        <v>production of display unit</v>
      </c>
      <c r="B24" s="50">
        <f>B19</f>
        <v>1</v>
      </c>
      <c r="D24" s="50" t="str">
        <f>B21</f>
        <v>unit</v>
      </c>
      <c r="E24" s="56" t="s">
        <v>2</v>
      </c>
      <c r="F24" s="50" t="str">
        <f>B15</f>
        <v>airport</v>
      </c>
      <c r="G24" s="50" t="s">
        <v>59</v>
      </c>
      <c r="H24" s="50" t="s">
        <v>30</v>
      </c>
      <c r="I24" s="50">
        <v>0</v>
      </c>
      <c r="J24" s="56" t="s">
        <v>31</v>
      </c>
      <c r="K24" s="56" t="s">
        <v>31</v>
      </c>
      <c r="L24" s="56" t="s">
        <v>31</v>
      </c>
      <c r="M24" s="56" t="s">
        <v>31</v>
      </c>
      <c r="N24" s="56" t="s">
        <v>31</v>
      </c>
      <c r="O24" s="50" t="str">
        <f>B16</f>
        <v>DFB80C16145A4B1F839E23271BACC3BC</v>
      </c>
      <c r="P24" s="56" t="s">
        <v>1613</v>
      </c>
    </row>
    <row r="25" spans="1:16" ht="15.6">
      <c r="A25" s="50" t="s">
        <v>1614</v>
      </c>
      <c r="B25" s="50">
        <v>30</v>
      </c>
      <c r="D25" s="50" t="s">
        <v>37</v>
      </c>
      <c r="E25" s="57" t="s">
        <v>2</v>
      </c>
      <c r="F25" s="50" t="s">
        <v>1452</v>
      </c>
      <c r="G25" s="50" t="s">
        <v>59</v>
      </c>
      <c r="H25" s="50" t="s">
        <v>33</v>
      </c>
      <c r="I25" s="50">
        <v>2</v>
      </c>
      <c r="J25" s="56">
        <f>LN(B25)</f>
        <v>3.4011973816621555</v>
      </c>
      <c r="K25" s="56">
        <v>0.34985711400000002</v>
      </c>
      <c r="L25" s="56" t="s">
        <v>31</v>
      </c>
      <c r="M25" s="56" t="s">
        <v>31</v>
      </c>
      <c r="N25" s="56" t="s">
        <v>31</v>
      </c>
      <c r="O25" s="58" t="s">
        <v>1615</v>
      </c>
    </row>
    <row r="26" spans="1:16" ht="15.6">
      <c r="A26" s="50" t="s">
        <v>134</v>
      </c>
      <c r="B26" s="50">
        <v>227.44785999999999</v>
      </c>
      <c r="D26" s="50" t="s">
        <v>37</v>
      </c>
      <c r="E26" s="57" t="s">
        <v>2</v>
      </c>
      <c r="F26" s="50" t="s">
        <v>1452</v>
      </c>
      <c r="G26" s="50" t="s">
        <v>59</v>
      </c>
      <c r="H26" s="50" t="s">
        <v>33</v>
      </c>
      <c r="I26" s="50">
        <v>2</v>
      </c>
      <c r="J26" s="56">
        <f>LN(B26)</f>
        <v>5.4269210253105067</v>
      </c>
      <c r="K26" s="56">
        <v>0.34985711400000002</v>
      </c>
      <c r="L26" s="56" t="s">
        <v>31</v>
      </c>
      <c r="M26" s="56" t="s">
        <v>31</v>
      </c>
      <c r="N26" s="56" t="s">
        <v>31</v>
      </c>
      <c r="O26" s="56" t="s">
        <v>1616</v>
      </c>
    </row>
    <row r="27" spans="1:16" s="55" customFormat="1" ht="15.6">
      <c r="A27" s="53" t="s">
        <v>5</v>
      </c>
      <c r="B27" s="53" t="s">
        <v>1617</v>
      </c>
      <c r="C27" s="53"/>
      <c r="D27" s="54" t="s">
        <v>386</v>
      </c>
    </row>
    <row r="28" spans="1:16">
      <c r="A28" s="50" t="s">
        <v>7</v>
      </c>
      <c r="B28" s="50" t="s">
        <v>1452</v>
      </c>
    </row>
    <row r="29" spans="1:16">
      <c r="A29" s="50" t="s">
        <v>9</v>
      </c>
      <c r="B29" s="50" t="s">
        <v>1618</v>
      </c>
    </row>
    <row r="30" spans="1:16">
      <c r="A30" s="50" t="s">
        <v>11</v>
      </c>
      <c r="B30" s="50" t="s">
        <v>231</v>
      </c>
    </row>
    <row r="31" spans="1:16">
      <c r="A31" s="50" t="s">
        <v>13</v>
      </c>
      <c r="B31" s="50" t="s">
        <v>59</v>
      </c>
    </row>
    <row r="32" spans="1:16">
      <c r="A32" s="50" t="s">
        <v>15</v>
      </c>
      <c r="B32" s="50">
        <v>1</v>
      </c>
    </row>
    <row r="33" spans="1:16">
      <c r="A33" s="50" t="s">
        <v>16</v>
      </c>
      <c r="B33" s="50" t="s">
        <v>17</v>
      </c>
    </row>
    <row r="34" spans="1:16">
      <c r="A34" s="50" t="s">
        <v>18</v>
      </c>
      <c r="B34" s="50" t="s">
        <v>18</v>
      </c>
      <c r="E34" s="50" t="s">
        <v>235</v>
      </c>
    </row>
    <row r="35" spans="1:16" ht="15.6">
      <c r="A35" s="52" t="s">
        <v>19</v>
      </c>
    </row>
    <row r="36" spans="1:16" ht="15.6">
      <c r="A36" s="52" t="s">
        <v>20</v>
      </c>
      <c r="B36" s="52" t="s">
        <v>21</v>
      </c>
      <c r="C36" s="52" t="s">
        <v>217</v>
      </c>
      <c r="D36" s="52" t="s">
        <v>18</v>
      </c>
      <c r="E36" s="52" t="s">
        <v>22</v>
      </c>
      <c r="F36" s="52" t="s">
        <v>7</v>
      </c>
      <c r="G36" s="52" t="s">
        <v>13</v>
      </c>
      <c r="H36" s="52" t="s">
        <v>16</v>
      </c>
      <c r="I36" s="52" t="s">
        <v>23</v>
      </c>
      <c r="J36" s="52" t="s">
        <v>24</v>
      </c>
      <c r="K36" s="52" t="s">
        <v>25</v>
      </c>
      <c r="L36" s="52" t="s">
        <v>26</v>
      </c>
      <c r="M36" s="52" t="s">
        <v>27</v>
      </c>
      <c r="N36" s="52" t="s">
        <v>28</v>
      </c>
      <c r="O36" s="52" t="s">
        <v>9</v>
      </c>
      <c r="P36" s="52" t="s">
        <v>11</v>
      </c>
    </row>
    <row r="37" spans="1:16" ht="15.6">
      <c r="A37" s="50" t="s">
        <v>1617</v>
      </c>
      <c r="B37" s="50">
        <f>B32</f>
        <v>1</v>
      </c>
      <c r="D37" s="50" t="str">
        <f>B34</f>
        <v>unit</v>
      </c>
      <c r="E37" s="56" t="s">
        <v>2</v>
      </c>
      <c r="F37" s="50" t="str">
        <f>B28</f>
        <v>airport</v>
      </c>
      <c r="G37" s="50" t="str">
        <f>B31</f>
        <v>GLO</v>
      </c>
      <c r="H37" s="50" t="s">
        <v>30</v>
      </c>
      <c r="I37" s="50">
        <v>0</v>
      </c>
      <c r="J37" s="56" t="s">
        <v>31</v>
      </c>
      <c r="K37" s="56" t="s">
        <v>31</v>
      </c>
      <c r="L37" s="56" t="s">
        <v>31</v>
      </c>
      <c r="M37" s="56" t="s">
        <v>31</v>
      </c>
      <c r="N37" s="56" t="s">
        <v>31</v>
      </c>
      <c r="O37" s="50" t="str">
        <f>B29</f>
        <v>FF3166E8B44F4982A9EEC35A560063C4</v>
      </c>
      <c r="P37" s="56" t="s">
        <v>1619</v>
      </c>
    </row>
    <row r="38" spans="1:16" ht="15.6">
      <c r="A38" s="50" t="s">
        <v>1620</v>
      </c>
      <c r="B38" s="50">
        <v>0.03</v>
      </c>
      <c r="D38" s="50" t="s">
        <v>37</v>
      </c>
      <c r="E38" s="50" t="s">
        <v>40</v>
      </c>
      <c r="F38" s="50" t="s">
        <v>1452</v>
      </c>
      <c r="G38" s="50" t="s">
        <v>59</v>
      </c>
      <c r="H38" s="50" t="s">
        <v>33</v>
      </c>
      <c r="I38" s="50">
        <v>2</v>
      </c>
      <c r="J38" s="50">
        <f>LN(B38)</f>
        <v>-3.5065578973199818</v>
      </c>
      <c r="K38" s="50">
        <v>0.34756294399999998</v>
      </c>
      <c r="L38" s="56" t="s">
        <v>31</v>
      </c>
      <c r="M38" s="56" t="s">
        <v>31</v>
      </c>
      <c r="N38" s="56" t="s">
        <v>31</v>
      </c>
      <c r="O38" s="58" t="s">
        <v>1621</v>
      </c>
    </row>
    <row r="39" spans="1:16" ht="15.6">
      <c r="A39" s="50" t="s">
        <v>101</v>
      </c>
      <c r="B39" s="50">
        <v>0.94500000000000006</v>
      </c>
      <c r="D39" s="50" t="s">
        <v>37</v>
      </c>
      <c r="E39" s="50" t="s">
        <v>40</v>
      </c>
      <c r="F39" s="50" t="s">
        <v>1452</v>
      </c>
      <c r="G39" s="50" t="s">
        <v>59</v>
      </c>
      <c r="H39" s="50" t="s">
        <v>33</v>
      </c>
      <c r="I39" s="50">
        <v>2</v>
      </c>
      <c r="J39" s="50">
        <f t="shared" ref="J39:J44" si="0">LN(B39)</f>
        <v>-5.6570351488394233E-2</v>
      </c>
      <c r="K39" s="50">
        <v>0.34756294399999998</v>
      </c>
      <c r="L39" s="56" t="s">
        <v>31</v>
      </c>
      <c r="M39" s="56" t="s">
        <v>31</v>
      </c>
      <c r="N39" s="56" t="s">
        <v>31</v>
      </c>
      <c r="O39" s="58" t="s">
        <v>1622</v>
      </c>
    </row>
    <row r="40" spans="1:16" ht="15.6">
      <c r="A40" s="58" t="s">
        <v>101</v>
      </c>
      <c r="B40" s="50">
        <v>0.54500000000000004</v>
      </c>
      <c r="D40" s="50" t="s">
        <v>37</v>
      </c>
      <c r="E40" s="50" t="s">
        <v>40</v>
      </c>
      <c r="F40" s="50" t="s">
        <v>1452</v>
      </c>
      <c r="G40" s="50" t="s">
        <v>59</v>
      </c>
      <c r="H40" s="50" t="s">
        <v>33</v>
      </c>
      <c r="I40" s="50">
        <v>2</v>
      </c>
      <c r="J40" s="50">
        <f t="shared" si="0"/>
        <v>-0.60696948431889286</v>
      </c>
      <c r="K40" s="50">
        <v>0.34756294399999998</v>
      </c>
      <c r="L40" s="56" t="s">
        <v>31</v>
      </c>
      <c r="M40" s="56" t="s">
        <v>31</v>
      </c>
      <c r="N40" s="56" t="s">
        <v>31</v>
      </c>
      <c r="O40" s="58" t="s">
        <v>1622</v>
      </c>
    </row>
    <row r="41" spans="1:16" ht="15.6">
      <c r="A41" s="58" t="s">
        <v>101</v>
      </c>
      <c r="B41" s="50">
        <v>5.2500000000000005E-2</v>
      </c>
      <c r="D41" s="50" t="s">
        <v>37</v>
      </c>
      <c r="E41" s="50" t="s">
        <v>40</v>
      </c>
      <c r="F41" s="50" t="s">
        <v>1452</v>
      </c>
      <c r="G41" s="50" t="s">
        <v>59</v>
      </c>
      <c r="H41" s="50" t="s">
        <v>33</v>
      </c>
      <c r="I41" s="50">
        <v>2</v>
      </c>
      <c r="J41" s="50">
        <f t="shared" si="0"/>
        <v>-2.9469421093845587</v>
      </c>
      <c r="K41" s="50">
        <v>0.34756294399999998</v>
      </c>
      <c r="L41" s="56" t="s">
        <v>31</v>
      </c>
      <c r="M41" s="56" t="s">
        <v>31</v>
      </c>
      <c r="N41" s="56" t="s">
        <v>31</v>
      </c>
      <c r="O41" s="58" t="s">
        <v>1622</v>
      </c>
    </row>
    <row r="42" spans="1:16" ht="15.6">
      <c r="A42" s="59" t="s">
        <v>347</v>
      </c>
      <c r="B42" s="50">
        <v>0.35000000000000003</v>
      </c>
      <c r="D42" s="50" t="s">
        <v>37</v>
      </c>
      <c r="E42" s="50" t="s">
        <v>40</v>
      </c>
      <c r="F42" s="50" t="s">
        <v>1452</v>
      </c>
      <c r="G42" s="50" t="s">
        <v>59</v>
      </c>
      <c r="H42" s="50" t="s">
        <v>33</v>
      </c>
      <c r="I42" s="50">
        <v>2</v>
      </c>
      <c r="J42" s="50">
        <f t="shared" si="0"/>
        <v>-1.0498221244986776</v>
      </c>
      <c r="K42" s="50">
        <v>0.34756294399999998</v>
      </c>
      <c r="L42" s="56" t="s">
        <v>31</v>
      </c>
      <c r="M42" s="56" t="s">
        <v>31</v>
      </c>
      <c r="N42" s="56" t="s">
        <v>31</v>
      </c>
      <c r="O42" s="50" t="s">
        <v>1623</v>
      </c>
    </row>
    <row r="43" spans="1:16" ht="15.6">
      <c r="A43" s="50" t="s">
        <v>687</v>
      </c>
      <c r="B43" s="50">
        <v>0.16500000000000001</v>
      </c>
      <c r="D43" s="50" t="s">
        <v>37</v>
      </c>
      <c r="E43" s="50" t="s">
        <v>40</v>
      </c>
      <c r="F43" s="50" t="s">
        <v>1452</v>
      </c>
      <c r="G43" s="50" t="s">
        <v>59</v>
      </c>
      <c r="H43" s="50" t="s">
        <v>33</v>
      </c>
      <c r="I43" s="50">
        <v>2</v>
      </c>
      <c r="J43" s="50">
        <f t="shared" si="0"/>
        <v>-1.8018098050815563</v>
      </c>
      <c r="K43" s="50">
        <v>0.34756294399999998</v>
      </c>
      <c r="L43" s="56" t="s">
        <v>31</v>
      </c>
      <c r="M43" s="56" t="s">
        <v>31</v>
      </c>
      <c r="N43" s="56" t="s">
        <v>31</v>
      </c>
      <c r="O43" s="58" t="s">
        <v>1624</v>
      </c>
    </row>
    <row r="44" spans="1:16" ht="15.6">
      <c r="A44" s="58" t="s">
        <v>101</v>
      </c>
      <c r="B44" s="50">
        <v>7.4999999999999997E-2</v>
      </c>
      <c r="D44" s="50" t="s">
        <v>37</v>
      </c>
      <c r="E44" s="50" t="s">
        <v>40</v>
      </c>
      <c r="F44" s="50" t="s">
        <v>1452</v>
      </c>
      <c r="G44" s="50" t="s">
        <v>59</v>
      </c>
      <c r="H44" s="50" t="s">
        <v>33</v>
      </c>
      <c r="I44" s="50">
        <v>2</v>
      </c>
      <c r="J44" s="50">
        <f t="shared" si="0"/>
        <v>-2.5902671654458267</v>
      </c>
      <c r="K44" s="50">
        <v>0.34756294399999998</v>
      </c>
      <c r="L44" s="56" t="s">
        <v>31</v>
      </c>
      <c r="M44" s="56" t="s">
        <v>31</v>
      </c>
      <c r="N44" s="56" t="s">
        <v>31</v>
      </c>
      <c r="O44" s="58" t="s">
        <v>1622</v>
      </c>
    </row>
    <row r="45" spans="1:16" s="55" customFormat="1" ht="15.6">
      <c r="A45" s="53" t="s">
        <v>5</v>
      </c>
      <c r="B45" s="53" t="s">
        <v>1625</v>
      </c>
      <c r="C45" s="53"/>
      <c r="D45" s="54" t="s">
        <v>386</v>
      </c>
    </row>
    <row r="46" spans="1:16">
      <c r="A46" s="50" t="s">
        <v>7</v>
      </c>
      <c r="B46" s="50" t="s">
        <v>1452</v>
      </c>
    </row>
    <row r="47" spans="1:16">
      <c r="A47" s="50" t="s">
        <v>9</v>
      </c>
      <c r="B47" s="50" t="s">
        <v>1626</v>
      </c>
    </row>
    <row r="48" spans="1:16">
      <c r="A48" s="50" t="s">
        <v>11</v>
      </c>
      <c r="B48" s="50" t="s">
        <v>231</v>
      </c>
    </row>
    <row r="49" spans="1:16">
      <c r="A49" s="50" t="s">
        <v>13</v>
      </c>
      <c r="B49" s="50" t="s">
        <v>59</v>
      </c>
    </row>
    <row r="50" spans="1:16">
      <c r="A50" s="50" t="s">
        <v>15</v>
      </c>
      <c r="B50" s="50">
        <v>1</v>
      </c>
    </row>
    <row r="51" spans="1:16">
      <c r="A51" s="50" t="s">
        <v>16</v>
      </c>
      <c r="B51" s="50" t="s">
        <v>17</v>
      </c>
    </row>
    <row r="52" spans="1:16">
      <c r="A52" s="50" t="s">
        <v>18</v>
      </c>
      <c r="B52" s="50" t="s">
        <v>18</v>
      </c>
    </row>
    <row r="53" spans="1:16" ht="15.6">
      <c r="A53" s="52" t="s">
        <v>19</v>
      </c>
    </row>
    <row r="54" spans="1:16" ht="15.6">
      <c r="A54" s="52" t="s">
        <v>20</v>
      </c>
      <c r="B54" s="52" t="s">
        <v>21</v>
      </c>
      <c r="C54" s="52" t="s">
        <v>217</v>
      </c>
      <c r="D54" s="52" t="s">
        <v>18</v>
      </c>
      <c r="E54" s="52" t="s">
        <v>22</v>
      </c>
      <c r="F54" s="52" t="s">
        <v>7</v>
      </c>
      <c r="G54" s="52" t="s">
        <v>13</v>
      </c>
      <c r="H54" s="52" t="s">
        <v>16</v>
      </c>
      <c r="I54" s="52" t="s">
        <v>23</v>
      </c>
      <c r="J54" s="52" t="s">
        <v>24</v>
      </c>
      <c r="K54" s="52" t="s">
        <v>25</v>
      </c>
      <c r="L54" s="52" t="s">
        <v>26</v>
      </c>
      <c r="M54" s="52" t="s">
        <v>27</v>
      </c>
      <c r="N54" s="52" t="s">
        <v>28</v>
      </c>
      <c r="O54" s="52" t="s">
        <v>9</v>
      </c>
      <c r="P54" s="52" t="s">
        <v>11</v>
      </c>
    </row>
    <row r="55" spans="1:16" ht="15.6">
      <c r="A55" s="50" t="str">
        <f>B45</f>
        <v>production of transformer</v>
      </c>
      <c r="B55" s="50">
        <f>B50</f>
        <v>1</v>
      </c>
      <c r="D55" s="50" t="str">
        <f>B52</f>
        <v>unit</v>
      </c>
      <c r="E55" s="56" t="s">
        <v>2</v>
      </c>
      <c r="F55" s="50" t="str">
        <f>B46</f>
        <v>airport</v>
      </c>
      <c r="G55" s="50" t="str">
        <f>B49</f>
        <v>GLO</v>
      </c>
      <c r="H55" s="50" t="s">
        <v>30</v>
      </c>
      <c r="I55" s="50">
        <v>0</v>
      </c>
      <c r="J55" s="56" t="s">
        <v>31</v>
      </c>
      <c r="K55" s="56" t="s">
        <v>31</v>
      </c>
      <c r="L55" s="56" t="s">
        <v>31</v>
      </c>
      <c r="M55" s="56" t="s">
        <v>31</v>
      </c>
      <c r="N55" s="56" t="s">
        <v>31</v>
      </c>
      <c r="O55" s="50" t="str">
        <f>B47</f>
        <v>E273023275094F8195D3F03BCCA9946C</v>
      </c>
      <c r="P55" s="56" t="s">
        <v>1627</v>
      </c>
    </row>
    <row r="56" spans="1:16" ht="15.6">
      <c r="A56" s="60" t="s">
        <v>1599</v>
      </c>
      <c r="B56" s="50">
        <v>1512.75</v>
      </c>
      <c r="D56" s="50" t="s">
        <v>37</v>
      </c>
      <c r="E56" s="50" t="s">
        <v>40</v>
      </c>
      <c r="F56" s="50" t="s">
        <v>1452</v>
      </c>
      <c r="G56" s="50" t="s">
        <v>59</v>
      </c>
      <c r="H56" s="50" t="s">
        <v>33</v>
      </c>
      <c r="I56" s="50">
        <v>2</v>
      </c>
      <c r="J56" s="50">
        <f>LN(B56)</f>
        <v>7.3216844655024307</v>
      </c>
      <c r="K56" s="50">
        <v>0.34756294399999998</v>
      </c>
      <c r="L56" s="56" t="s">
        <v>31</v>
      </c>
      <c r="M56" s="56" t="s">
        <v>31</v>
      </c>
      <c r="N56" s="56" t="s">
        <v>31</v>
      </c>
      <c r="O56" s="58" t="s">
        <v>1628</v>
      </c>
      <c r="P56" s="50" t="s">
        <v>1629</v>
      </c>
    </row>
    <row r="57" spans="1:16" ht="15.6">
      <c r="A57" s="60" t="s">
        <v>139</v>
      </c>
      <c r="B57" s="50">
        <v>9.5</v>
      </c>
      <c r="D57" s="50" t="s">
        <v>37</v>
      </c>
      <c r="E57" s="50" t="s">
        <v>40</v>
      </c>
      <c r="F57" s="50" t="s">
        <v>1452</v>
      </c>
      <c r="G57" s="50" t="s">
        <v>82</v>
      </c>
      <c r="H57" s="50" t="s">
        <v>33</v>
      </c>
      <c r="I57" s="50">
        <v>2</v>
      </c>
      <c r="J57" s="50">
        <f>LN(B57)</f>
        <v>2.2512917986064953</v>
      </c>
      <c r="K57" s="50">
        <v>0.34756294399999998</v>
      </c>
      <c r="L57" s="56" t="s">
        <v>31</v>
      </c>
      <c r="M57" s="56" t="s">
        <v>31</v>
      </c>
      <c r="N57" s="56" t="s">
        <v>31</v>
      </c>
      <c r="O57" s="58" t="s">
        <v>1630</v>
      </c>
      <c r="P57" s="50" t="s">
        <v>1631</v>
      </c>
    </row>
    <row r="58" spans="1:16" ht="15.6">
      <c r="A58" s="61" t="s">
        <v>707</v>
      </c>
      <c r="B58" s="50">
        <v>1250.45</v>
      </c>
      <c r="D58" s="50" t="s">
        <v>37</v>
      </c>
      <c r="E58" s="50" t="s">
        <v>40</v>
      </c>
      <c r="F58" s="50" t="s">
        <v>1452</v>
      </c>
      <c r="G58" s="50" t="s">
        <v>59</v>
      </c>
      <c r="H58" s="50" t="s">
        <v>33</v>
      </c>
      <c r="I58" s="50">
        <v>2</v>
      </c>
      <c r="J58" s="50">
        <f>LN(B58)</f>
        <v>7.1312587655118946</v>
      </c>
      <c r="K58" s="50">
        <v>0.34756294399999998</v>
      </c>
      <c r="L58" s="56" t="s">
        <v>31</v>
      </c>
      <c r="M58" s="56" t="s">
        <v>31</v>
      </c>
      <c r="N58" s="56" t="s">
        <v>31</v>
      </c>
      <c r="O58" s="58" t="s">
        <v>1632</v>
      </c>
      <c r="P58" s="50" t="s">
        <v>1633</v>
      </c>
    </row>
    <row r="59" spans="1:16" ht="15.6">
      <c r="A59" s="62" t="s">
        <v>139</v>
      </c>
      <c r="B59" s="50">
        <v>7.8579999999999997</v>
      </c>
      <c r="D59" s="50" t="s">
        <v>37</v>
      </c>
      <c r="E59" s="50" t="s">
        <v>40</v>
      </c>
      <c r="F59" s="50" t="s">
        <v>1452</v>
      </c>
      <c r="G59" s="50" t="s">
        <v>82</v>
      </c>
      <c r="H59" s="50" t="s">
        <v>33</v>
      </c>
      <c r="I59" s="50">
        <v>2</v>
      </c>
      <c r="J59" s="50">
        <f>LN(B59)</f>
        <v>2.0615321211362678</v>
      </c>
      <c r="K59" s="50">
        <v>0.34756294399999998</v>
      </c>
      <c r="L59" s="56" t="s">
        <v>31</v>
      </c>
      <c r="M59" s="56" t="s">
        <v>31</v>
      </c>
      <c r="N59" s="56" t="s">
        <v>31</v>
      </c>
      <c r="O59" s="58" t="s">
        <v>1630</v>
      </c>
      <c r="P59" s="50" t="s">
        <v>1634</v>
      </c>
    </row>
    <row r="60" spans="1:16" s="55" customFormat="1" ht="15.6">
      <c r="A60" s="53" t="s">
        <v>5</v>
      </c>
      <c r="B60" s="53" t="s">
        <v>1635</v>
      </c>
      <c r="C60" s="53"/>
      <c r="D60" s="54" t="s">
        <v>386</v>
      </c>
    </row>
    <row r="61" spans="1:16">
      <c r="A61" s="50" t="s">
        <v>7</v>
      </c>
      <c r="B61" s="50" t="s">
        <v>1452</v>
      </c>
    </row>
    <row r="62" spans="1:16">
      <c r="A62" s="50" t="s">
        <v>9</v>
      </c>
      <c r="B62" s="50" t="s">
        <v>1636</v>
      </c>
    </row>
    <row r="63" spans="1:16">
      <c r="A63" s="50" t="s">
        <v>11</v>
      </c>
      <c r="B63" s="50" t="s">
        <v>231</v>
      </c>
    </row>
    <row r="64" spans="1:16">
      <c r="A64" s="50" t="s">
        <v>13</v>
      </c>
      <c r="B64" s="50" t="s">
        <v>59</v>
      </c>
    </row>
    <row r="65" spans="1:16">
      <c r="A65" s="50" t="s">
        <v>15</v>
      </c>
      <c r="B65" s="50">
        <v>1</v>
      </c>
    </row>
    <row r="66" spans="1:16">
      <c r="A66" s="50" t="s">
        <v>16</v>
      </c>
      <c r="B66" s="50" t="s">
        <v>17</v>
      </c>
    </row>
    <row r="67" spans="1:16">
      <c r="A67" s="50" t="s">
        <v>18</v>
      </c>
      <c r="B67" s="50" t="s">
        <v>18</v>
      </c>
    </row>
    <row r="68" spans="1:16" ht="15.6">
      <c r="A68" s="52" t="s">
        <v>19</v>
      </c>
    </row>
    <row r="69" spans="1:16" ht="15.6">
      <c r="A69" s="52" t="s">
        <v>20</v>
      </c>
      <c r="B69" s="52" t="s">
        <v>21</v>
      </c>
      <c r="C69" s="52" t="s">
        <v>217</v>
      </c>
      <c r="D69" s="52" t="s">
        <v>18</v>
      </c>
      <c r="E69" s="52" t="s">
        <v>22</v>
      </c>
      <c r="F69" s="52" t="s">
        <v>7</v>
      </c>
      <c r="G69" s="52" t="s">
        <v>13</v>
      </c>
      <c r="H69" s="52" t="s">
        <v>16</v>
      </c>
      <c r="I69" s="52" t="s">
        <v>23</v>
      </c>
      <c r="J69" s="52" t="s">
        <v>24</v>
      </c>
      <c r="K69" s="52" t="s">
        <v>25</v>
      </c>
      <c r="L69" s="52" t="s">
        <v>26</v>
      </c>
      <c r="M69" s="52" t="s">
        <v>27</v>
      </c>
      <c r="N69" s="52" t="s">
        <v>28</v>
      </c>
      <c r="O69" s="52" t="s">
        <v>9</v>
      </c>
      <c r="P69" s="52" t="s">
        <v>11</v>
      </c>
    </row>
    <row r="70" spans="1:16" ht="15.6">
      <c r="A70" s="50" t="str">
        <f>B60</f>
        <v>production of charging cable</v>
      </c>
      <c r="B70" s="50">
        <f>B65</f>
        <v>1</v>
      </c>
      <c r="D70" s="50" t="str">
        <f>B67</f>
        <v>unit</v>
      </c>
      <c r="E70" s="56" t="s">
        <v>2</v>
      </c>
      <c r="F70" s="50" t="str">
        <f>B61</f>
        <v>airport</v>
      </c>
      <c r="G70" s="50" t="str">
        <f>B64</f>
        <v>GLO</v>
      </c>
      <c r="H70" s="50" t="s">
        <v>30</v>
      </c>
      <c r="I70" s="50">
        <v>0</v>
      </c>
      <c r="J70" s="56" t="s">
        <v>31</v>
      </c>
      <c r="K70" s="56" t="s">
        <v>31</v>
      </c>
      <c r="L70" s="56" t="s">
        <v>31</v>
      </c>
      <c r="M70" s="56" t="s">
        <v>31</v>
      </c>
      <c r="N70" s="56" t="s">
        <v>31</v>
      </c>
      <c r="O70" s="50" t="str">
        <f>B62</f>
        <v>EF6B3F5E63DC47D3A0BBBDF84D4281CE</v>
      </c>
      <c r="P70" s="56" t="s">
        <v>1637</v>
      </c>
    </row>
    <row r="71" spans="1:16" ht="15.6">
      <c r="A71" s="60" t="s">
        <v>687</v>
      </c>
      <c r="B71" s="50">
        <v>0.8</v>
      </c>
      <c r="D71" s="50" t="s">
        <v>37</v>
      </c>
      <c r="E71" s="50" t="s">
        <v>40</v>
      </c>
      <c r="F71" s="50" t="s">
        <v>1452</v>
      </c>
      <c r="G71" s="50" t="s">
        <v>59</v>
      </c>
      <c r="H71" s="50" t="s">
        <v>33</v>
      </c>
      <c r="I71" s="50">
        <v>2</v>
      </c>
      <c r="J71" s="50">
        <f>LN(B71)</f>
        <v>-0.22314355131420971</v>
      </c>
      <c r="K71" s="50">
        <v>0.34756294399999998</v>
      </c>
      <c r="L71" s="56" t="s">
        <v>31</v>
      </c>
      <c r="M71" s="56" t="s">
        <v>31</v>
      </c>
      <c r="N71" s="56" t="s">
        <v>31</v>
      </c>
      <c r="O71" s="58" t="s">
        <v>1638</v>
      </c>
    </row>
    <row r="72" spans="1:16" ht="15.6">
      <c r="A72" s="50" t="s">
        <v>1328</v>
      </c>
      <c r="B72" s="50">
        <v>2.0499999999999998</v>
      </c>
      <c r="D72" s="50" t="s">
        <v>37</v>
      </c>
      <c r="E72" s="50" t="s">
        <v>40</v>
      </c>
      <c r="F72" s="50" t="s">
        <v>1452</v>
      </c>
      <c r="G72" s="50" t="s">
        <v>82</v>
      </c>
      <c r="H72" s="50" t="s">
        <v>33</v>
      </c>
      <c r="I72" s="50">
        <v>2</v>
      </c>
      <c r="J72" s="50">
        <f>LN(B72)</f>
        <v>0.71783979315031676</v>
      </c>
      <c r="K72" s="50">
        <v>0.34756294399999998</v>
      </c>
      <c r="L72" s="56" t="s">
        <v>31</v>
      </c>
      <c r="M72" s="56" t="s">
        <v>31</v>
      </c>
      <c r="N72" s="56" t="s">
        <v>31</v>
      </c>
      <c r="O72" s="58" t="s">
        <v>1639</v>
      </c>
    </row>
    <row r="73" spans="1:16" ht="15.6">
      <c r="A73" s="63" t="s">
        <v>707</v>
      </c>
      <c r="B73" s="50">
        <v>36.153930729999999</v>
      </c>
      <c r="D73" s="50" t="s">
        <v>37</v>
      </c>
      <c r="E73" s="50" t="s">
        <v>40</v>
      </c>
      <c r="F73" s="50" t="s">
        <v>1452</v>
      </c>
      <c r="G73" s="50" t="s">
        <v>59</v>
      </c>
      <c r="H73" s="50" t="s">
        <v>33</v>
      </c>
      <c r="I73" s="50">
        <v>2</v>
      </c>
      <c r="J73" s="50">
        <f>LN(B73)</f>
        <v>3.5877856765802569</v>
      </c>
      <c r="K73" s="50">
        <v>0.34756294399999998</v>
      </c>
      <c r="L73" s="56" t="s">
        <v>31</v>
      </c>
      <c r="M73" s="56" t="s">
        <v>31</v>
      </c>
      <c r="N73" s="56" t="s">
        <v>31</v>
      </c>
      <c r="O73" s="58" t="s">
        <v>1632</v>
      </c>
      <c r="P73" s="50" t="s">
        <v>1640</v>
      </c>
    </row>
    <row r="74" spans="1:16" ht="15.6">
      <c r="A74" s="64" t="s">
        <v>98</v>
      </c>
      <c r="B74" s="50">
        <v>32.5013468</v>
      </c>
      <c r="D74" s="50" t="s">
        <v>37</v>
      </c>
      <c r="E74" s="50" t="s">
        <v>40</v>
      </c>
      <c r="F74" s="50" t="s">
        <v>1452</v>
      </c>
      <c r="G74" s="50" t="s">
        <v>59</v>
      </c>
      <c r="H74" s="50" t="s">
        <v>33</v>
      </c>
      <c r="I74" s="50">
        <v>2</v>
      </c>
      <c r="J74" s="50">
        <f>LN(B74)</f>
        <v>3.4812815284770786</v>
      </c>
      <c r="K74" s="50">
        <v>0.34756294399999998</v>
      </c>
      <c r="L74" s="56" t="s">
        <v>31</v>
      </c>
      <c r="M74" s="56" t="s">
        <v>31</v>
      </c>
      <c r="N74" s="56" t="s">
        <v>31</v>
      </c>
      <c r="O74" s="58" t="s">
        <v>1641</v>
      </c>
    </row>
    <row r="75" spans="1:16" ht="15.6">
      <c r="A75" s="65" t="s">
        <v>344</v>
      </c>
      <c r="B75" s="50">
        <v>14.116389270000001</v>
      </c>
      <c r="D75" s="50" t="s">
        <v>37</v>
      </c>
      <c r="E75" s="50" t="s">
        <v>40</v>
      </c>
      <c r="F75" s="50" t="s">
        <v>1452</v>
      </c>
      <c r="G75" s="50" t="s">
        <v>59</v>
      </c>
      <c r="H75" s="50" t="s">
        <v>33</v>
      </c>
      <c r="I75" s="50">
        <v>2</v>
      </c>
      <c r="J75" s="50">
        <f>LN(B75)</f>
        <v>2.6473364819417249</v>
      </c>
      <c r="K75" s="50">
        <v>0.34756294399999998</v>
      </c>
      <c r="L75" s="56" t="s">
        <v>31</v>
      </c>
      <c r="M75" s="56" t="s">
        <v>31</v>
      </c>
      <c r="N75" s="56" t="s">
        <v>31</v>
      </c>
      <c r="O75" s="58" t="s">
        <v>1642</v>
      </c>
      <c r="P75" s="50" t="s">
        <v>1643</v>
      </c>
    </row>
    <row r="76" spans="1:16" s="55" customFormat="1" ht="15.6">
      <c r="A76" s="53" t="s">
        <v>5</v>
      </c>
      <c r="B76" s="53" t="s">
        <v>1644</v>
      </c>
      <c r="C76" s="53"/>
      <c r="D76" s="54" t="s">
        <v>386</v>
      </c>
    </row>
    <row r="77" spans="1:16">
      <c r="A77" s="50" t="s">
        <v>7</v>
      </c>
      <c r="B77" s="50" t="s">
        <v>1452</v>
      </c>
    </row>
    <row r="78" spans="1:16">
      <c r="A78" s="50" t="s">
        <v>9</v>
      </c>
      <c r="B78" s="50" t="s">
        <v>1645</v>
      </c>
    </row>
    <row r="79" spans="1:16">
      <c r="A79" s="50" t="s">
        <v>11</v>
      </c>
      <c r="B79" s="50" t="s">
        <v>231</v>
      </c>
    </row>
    <row r="80" spans="1:16">
      <c r="A80" s="50" t="s">
        <v>13</v>
      </c>
      <c r="B80" s="50" t="s">
        <v>59</v>
      </c>
    </row>
    <row r="81" spans="1:16">
      <c r="A81" s="50" t="s">
        <v>15</v>
      </c>
      <c r="B81" s="50">
        <v>1</v>
      </c>
    </row>
    <row r="82" spans="1:16">
      <c r="A82" s="50" t="s">
        <v>16</v>
      </c>
      <c r="B82" s="50" t="s">
        <v>17</v>
      </c>
    </row>
    <row r="83" spans="1:16">
      <c r="A83" s="50" t="s">
        <v>18</v>
      </c>
      <c r="B83" s="50" t="s">
        <v>18</v>
      </c>
    </row>
    <row r="84" spans="1:16" ht="15.6">
      <c r="A84" s="52" t="s">
        <v>19</v>
      </c>
    </row>
    <row r="85" spans="1:16" ht="15.6">
      <c r="A85" s="52" t="s">
        <v>20</v>
      </c>
      <c r="B85" s="52" t="s">
        <v>21</v>
      </c>
      <c r="C85" s="52" t="s">
        <v>217</v>
      </c>
      <c r="D85" s="52" t="s">
        <v>18</v>
      </c>
      <c r="E85" s="52" t="s">
        <v>22</v>
      </c>
      <c r="F85" s="52" t="s">
        <v>7</v>
      </c>
      <c r="G85" s="52" t="s">
        <v>13</v>
      </c>
      <c r="H85" s="52" t="s">
        <v>16</v>
      </c>
      <c r="I85" s="52" t="s">
        <v>23</v>
      </c>
      <c r="J85" s="52" t="s">
        <v>24</v>
      </c>
      <c r="K85" s="52" t="s">
        <v>25</v>
      </c>
      <c r="L85" s="52" t="s">
        <v>26</v>
      </c>
      <c r="M85" s="52" t="s">
        <v>27</v>
      </c>
      <c r="N85" s="52" t="s">
        <v>28</v>
      </c>
      <c r="O85" s="52" t="s">
        <v>9</v>
      </c>
      <c r="P85" s="52" t="s">
        <v>11</v>
      </c>
    </row>
    <row r="86" spans="1:16" ht="15.6">
      <c r="A86" s="50" t="str">
        <f>B76</f>
        <v>produciton of control cabinet, fuses, signal cables</v>
      </c>
      <c r="B86" s="50">
        <f>B81</f>
        <v>1</v>
      </c>
      <c r="D86" s="50" t="str">
        <f>B83</f>
        <v>unit</v>
      </c>
      <c r="E86" s="56" t="s">
        <v>2</v>
      </c>
      <c r="F86" s="50" t="str">
        <f>B77</f>
        <v>airport</v>
      </c>
      <c r="G86" s="50" t="str">
        <f>B80</f>
        <v>GLO</v>
      </c>
      <c r="H86" s="50" t="s">
        <v>30</v>
      </c>
      <c r="I86" s="50">
        <v>0</v>
      </c>
      <c r="J86" s="56" t="s">
        <v>31</v>
      </c>
      <c r="K86" s="56" t="s">
        <v>31</v>
      </c>
      <c r="L86" s="56" t="s">
        <v>31</v>
      </c>
      <c r="M86" s="56" t="s">
        <v>31</v>
      </c>
      <c r="N86" s="56" t="s">
        <v>31</v>
      </c>
      <c r="O86" s="50" t="str">
        <f>B78</f>
        <v>6EA2BFB3D2844F798A82A1136EA2A047</v>
      </c>
      <c r="P86" s="56" t="s">
        <v>1646</v>
      </c>
    </row>
    <row r="87" spans="1:16" ht="15.6">
      <c r="A87" s="50" t="s">
        <v>1647</v>
      </c>
      <c r="B87" s="50">
        <v>20</v>
      </c>
      <c r="D87" s="50" t="s">
        <v>37</v>
      </c>
      <c r="E87" s="50" t="s">
        <v>40</v>
      </c>
      <c r="F87" s="50" t="s">
        <v>1452</v>
      </c>
      <c r="G87" s="50" t="s">
        <v>59</v>
      </c>
      <c r="H87" s="50" t="s">
        <v>33</v>
      </c>
      <c r="I87" s="50">
        <v>2</v>
      </c>
      <c r="J87" s="50">
        <f>LN(B87)</f>
        <v>2.9957322735539909</v>
      </c>
      <c r="K87" s="50">
        <v>0.35958309199999999</v>
      </c>
      <c r="L87" s="56" t="s">
        <v>31</v>
      </c>
      <c r="M87" s="56" t="s">
        <v>31</v>
      </c>
      <c r="N87" s="56" t="s">
        <v>31</v>
      </c>
      <c r="O87" s="58" t="s">
        <v>1648</v>
      </c>
    </row>
    <row r="88" spans="1:16" s="55" customFormat="1" ht="15.6">
      <c r="A88" s="53" t="s">
        <v>5</v>
      </c>
      <c r="B88" s="53" t="s">
        <v>1649</v>
      </c>
      <c r="C88" s="53"/>
      <c r="D88" s="54" t="s">
        <v>386</v>
      </c>
    </row>
    <row r="89" spans="1:16">
      <c r="A89" s="50" t="s">
        <v>7</v>
      </c>
      <c r="B89" s="50" t="s">
        <v>1452</v>
      </c>
    </row>
    <row r="90" spans="1:16">
      <c r="A90" s="50" t="s">
        <v>9</v>
      </c>
      <c r="B90" s="50" t="s">
        <v>1650</v>
      </c>
    </row>
    <row r="91" spans="1:16">
      <c r="A91" s="50" t="s">
        <v>11</v>
      </c>
      <c r="B91" s="50" t="s">
        <v>231</v>
      </c>
    </row>
    <row r="92" spans="1:16">
      <c r="A92" s="50" t="s">
        <v>13</v>
      </c>
      <c r="B92" s="50" t="s">
        <v>59</v>
      </c>
    </row>
    <row r="93" spans="1:16">
      <c r="A93" s="50" t="s">
        <v>15</v>
      </c>
      <c r="B93" s="50">
        <v>1</v>
      </c>
    </row>
    <row r="94" spans="1:16">
      <c r="A94" s="50" t="s">
        <v>16</v>
      </c>
      <c r="B94" s="50" t="s">
        <v>17</v>
      </c>
    </row>
    <row r="95" spans="1:16">
      <c r="A95" s="50" t="s">
        <v>18</v>
      </c>
      <c r="B95" s="50" t="s">
        <v>18</v>
      </c>
    </row>
    <row r="96" spans="1:16" ht="15.6">
      <c r="A96" s="52" t="s">
        <v>19</v>
      </c>
    </row>
    <row r="97" spans="1:16" ht="15.6">
      <c r="A97" s="52" t="s">
        <v>20</v>
      </c>
      <c r="B97" s="52" t="s">
        <v>21</v>
      </c>
      <c r="C97" s="52" t="s">
        <v>217</v>
      </c>
      <c r="D97" s="52" t="s">
        <v>18</v>
      </c>
      <c r="E97" s="52" t="s">
        <v>22</v>
      </c>
      <c r="F97" s="52" t="s">
        <v>7</v>
      </c>
      <c r="G97" s="52" t="s">
        <v>13</v>
      </c>
      <c r="H97" s="52" t="s">
        <v>16</v>
      </c>
      <c r="I97" s="52" t="s">
        <v>23</v>
      </c>
      <c r="J97" s="52" t="s">
        <v>24</v>
      </c>
      <c r="K97" s="52" t="s">
        <v>25</v>
      </c>
      <c r="L97" s="52" t="s">
        <v>26</v>
      </c>
      <c r="M97" s="52" t="s">
        <v>27</v>
      </c>
      <c r="N97" s="52" t="s">
        <v>28</v>
      </c>
      <c r="O97" s="52" t="s">
        <v>9</v>
      </c>
      <c r="P97" s="52" t="s">
        <v>11</v>
      </c>
    </row>
    <row r="98" spans="1:16" ht="15.6">
      <c r="A98" s="50" t="str">
        <f>B88</f>
        <v>produciton of fans</v>
      </c>
      <c r="B98" s="50">
        <f>B93</f>
        <v>1</v>
      </c>
      <c r="D98" s="50" t="str">
        <f>B95</f>
        <v>unit</v>
      </c>
      <c r="E98" s="56" t="s">
        <v>2</v>
      </c>
      <c r="F98" s="50" t="str">
        <f>B89</f>
        <v>airport</v>
      </c>
      <c r="G98" s="50" t="str">
        <f>B92</f>
        <v>GLO</v>
      </c>
      <c r="H98" s="50" t="s">
        <v>30</v>
      </c>
      <c r="I98" s="50">
        <v>0</v>
      </c>
      <c r="J98" s="56" t="s">
        <v>31</v>
      </c>
      <c r="K98" s="56" t="s">
        <v>31</v>
      </c>
      <c r="L98" s="56" t="s">
        <v>31</v>
      </c>
      <c r="M98" s="56" t="s">
        <v>31</v>
      </c>
      <c r="N98" s="56" t="s">
        <v>31</v>
      </c>
      <c r="O98" s="50" t="str">
        <f>B90</f>
        <v>FB10AE9851404A5D9E9C092A15A46419</v>
      </c>
      <c r="P98" s="56" t="s">
        <v>1651</v>
      </c>
    </row>
    <row r="99" spans="1:16" ht="15.6">
      <c r="A99" s="59" t="s">
        <v>347</v>
      </c>
      <c r="B99" s="50">
        <v>33</v>
      </c>
      <c r="D99" s="50" t="s">
        <v>37</v>
      </c>
      <c r="E99" s="50" t="s">
        <v>40</v>
      </c>
      <c r="F99" s="50" t="s">
        <v>1452</v>
      </c>
      <c r="G99" s="50" t="s">
        <v>59</v>
      </c>
      <c r="H99" s="50" t="s">
        <v>33</v>
      </c>
      <c r="I99" s="50">
        <v>2</v>
      </c>
      <c r="J99" s="50">
        <f>LN(B99)</f>
        <v>3.4965075614664802</v>
      </c>
      <c r="K99" s="50">
        <v>0.35958309199999999</v>
      </c>
      <c r="L99" s="56" t="s">
        <v>31</v>
      </c>
      <c r="M99" s="56" t="s">
        <v>31</v>
      </c>
      <c r="N99" s="56" t="s">
        <v>31</v>
      </c>
      <c r="O99" s="58" t="s">
        <v>1648</v>
      </c>
    </row>
    <row r="100" spans="1:16" s="55" customFormat="1" ht="15.6">
      <c r="A100" s="53" t="s">
        <v>5</v>
      </c>
      <c r="B100" s="53" t="s">
        <v>1451</v>
      </c>
      <c r="C100" s="53"/>
      <c r="D100" s="54" t="s">
        <v>386</v>
      </c>
    </row>
    <row r="101" spans="1:16">
      <c r="A101" s="50" t="s">
        <v>7</v>
      </c>
      <c r="B101" s="50" t="s">
        <v>1452</v>
      </c>
    </row>
    <row r="102" spans="1:16">
      <c r="A102" s="50" t="s">
        <v>9</v>
      </c>
      <c r="B102" s="50" t="s">
        <v>1652</v>
      </c>
    </row>
    <row r="103" spans="1:16">
      <c r="A103" s="50" t="s">
        <v>11</v>
      </c>
      <c r="B103" s="50" t="s">
        <v>231</v>
      </c>
    </row>
    <row r="104" spans="1:16">
      <c r="A104" s="50" t="s">
        <v>13</v>
      </c>
      <c r="B104" s="50" t="s">
        <v>59</v>
      </c>
    </row>
    <row r="105" spans="1:16">
      <c r="A105" s="50" t="s">
        <v>15</v>
      </c>
      <c r="B105" s="50">
        <v>1</v>
      </c>
    </row>
    <row r="106" spans="1:16">
      <c r="A106" s="50" t="s">
        <v>16</v>
      </c>
      <c r="B106" s="50" t="s">
        <v>17</v>
      </c>
    </row>
    <row r="107" spans="1:16">
      <c r="A107" s="50" t="s">
        <v>18</v>
      </c>
      <c r="B107" s="50" t="s">
        <v>18</v>
      </c>
      <c r="E107" s="50" t="s">
        <v>235</v>
      </c>
    </row>
    <row r="108" spans="1:16" ht="15.6">
      <c r="A108" s="52" t="s">
        <v>19</v>
      </c>
    </row>
    <row r="109" spans="1:16" ht="15.6">
      <c r="A109" s="52" t="s">
        <v>20</v>
      </c>
      <c r="B109" s="52" t="s">
        <v>21</v>
      </c>
      <c r="C109" s="52" t="s">
        <v>217</v>
      </c>
      <c r="D109" s="52" t="s">
        <v>18</v>
      </c>
      <c r="E109" s="52" t="s">
        <v>22</v>
      </c>
      <c r="F109" s="52" t="s">
        <v>7</v>
      </c>
      <c r="G109" s="52" t="s">
        <v>13</v>
      </c>
      <c r="H109" s="52" t="s">
        <v>16</v>
      </c>
      <c r="I109" s="52" t="s">
        <v>23</v>
      </c>
      <c r="J109" s="52" t="s">
        <v>24</v>
      </c>
      <c r="K109" s="52" t="s">
        <v>25</v>
      </c>
      <c r="L109" s="52" t="s">
        <v>26</v>
      </c>
      <c r="M109" s="52" t="s">
        <v>27</v>
      </c>
      <c r="N109" s="52" t="s">
        <v>28</v>
      </c>
      <c r="O109" s="52" t="s">
        <v>9</v>
      </c>
      <c r="P109" s="52" t="s">
        <v>11</v>
      </c>
    </row>
    <row r="110" spans="1:16" ht="15.6">
      <c r="A110" s="50" t="str">
        <f>B100</f>
        <v>production of charging station, long-term</v>
      </c>
      <c r="B110" s="50">
        <f>B105</f>
        <v>1</v>
      </c>
      <c r="D110" s="50" t="str">
        <f>B107</f>
        <v>unit</v>
      </c>
      <c r="E110" s="56" t="s">
        <v>2</v>
      </c>
      <c r="F110" s="50" t="str">
        <f>B101</f>
        <v>airport</v>
      </c>
      <c r="G110" s="50" t="s">
        <v>59</v>
      </c>
      <c r="H110" s="50" t="s">
        <v>30</v>
      </c>
      <c r="I110" s="50">
        <v>0</v>
      </c>
      <c r="J110" s="56" t="s">
        <v>31</v>
      </c>
      <c r="K110" s="56" t="s">
        <v>31</v>
      </c>
      <c r="L110" s="56" t="s">
        <v>31</v>
      </c>
      <c r="M110" s="56" t="s">
        <v>31</v>
      </c>
      <c r="N110" s="56" t="s">
        <v>31</v>
      </c>
      <c r="O110" s="50" t="str">
        <f>B102</f>
        <v>F15282F3A61E494E8F559DE5517C07DB</v>
      </c>
      <c r="P110" s="56" t="s">
        <v>1653</v>
      </c>
    </row>
    <row r="111" spans="1:16" ht="15.6">
      <c r="A111" s="50" t="str">
        <f>A12</f>
        <v>production of casing</v>
      </c>
      <c r="B111" s="50">
        <v>16</v>
      </c>
      <c r="D111" s="50" t="str">
        <f>D12</f>
        <v>unit</v>
      </c>
      <c r="E111" s="50" t="str">
        <f>E12</f>
        <v>GENESIS_2050_PEMFC-bat_Base</v>
      </c>
      <c r="F111" s="50" t="str">
        <f>F12</f>
        <v>airport</v>
      </c>
      <c r="G111" s="50" t="str">
        <f>G12</f>
        <v>GLO</v>
      </c>
      <c r="H111" s="50" t="s">
        <v>33</v>
      </c>
      <c r="I111" s="50">
        <v>0</v>
      </c>
      <c r="J111" s="56" t="s">
        <v>31</v>
      </c>
      <c r="K111" s="56" t="s">
        <v>31</v>
      </c>
      <c r="L111" s="56" t="s">
        <v>31</v>
      </c>
      <c r="M111" s="56" t="s">
        <v>31</v>
      </c>
      <c r="N111" s="56" t="s">
        <v>31</v>
      </c>
      <c r="O111" s="50" t="str">
        <f>O12</f>
        <v>B6F596DBDD1844EE930544B90A4858B8</v>
      </c>
      <c r="P111" s="56"/>
    </row>
    <row r="112" spans="1:16" ht="15.6">
      <c r="A112" s="50" t="str">
        <f>A24</f>
        <v>production of display unit</v>
      </c>
      <c r="B112" s="50">
        <v>4</v>
      </c>
      <c r="D112" s="50" t="str">
        <f>D24</f>
        <v>unit</v>
      </c>
      <c r="E112" s="50" t="str">
        <f>E24</f>
        <v>GENESIS_2050_PEMFC-bat_Base</v>
      </c>
      <c r="F112" s="50" t="str">
        <f>F24</f>
        <v>airport</v>
      </c>
      <c r="G112" s="50" t="str">
        <f>G24</f>
        <v>GLO</v>
      </c>
      <c r="H112" s="50" t="s">
        <v>33</v>
      </c>
      <c r="I112" s="50">
        <v>0</v>
      </c>
      <c r="J112" s="56" t="s">
        <v>31</v>
      </c>
      <c r="K112" s="56" t="s">
        <v>31</v>
      </c>
      <c r="L112" s="56" t="s">
        <v>31</v>
      </c>
      <c r="M112" s="56" t="s">
        <v>31</v>
      </c>
      <c r="N112" s="56" t="s">
        <v>31</v>
      </c>
      <c r="O112" s="50" t="str">
        <f>O24</f>
        <v>DFB80C16145A4B1F839E23271BACC3BC</v>
      </c>
      <c r="P112" s="56"/>
    </row>
    <row r="113" spans="1:16" ht="15.6">
      <c r="A113" s="50" t="str">
        <f>'A. ACDC POWER MODULE '!B2</f>
        <v>production of ACDC power module, battery charging, long-term</v>
      </c>
      <c r="B113" s="66">
        <v>48</v>
      </c>
      <c r="D113" s="50" t="s">
        <v>18</v>
      </c>
      <c r="E113" s="50" t="str">
        <f>E25</f>
        <v>GENESIS_2050_PEMFC-bat_Base</v>
      </c>
      <c r="F113" t="s">
        <v>1654</v>
      </c>
      <c r="G113" s="50" t="s">
        <v>14</v>
      </c>
      <c r="H113" s="50" t="s">
        <v>33</v>
      </c>
      <c r="I113" s="50">
        <v>0</v>
      </c>
      <c r="J113" s="56" t="s">
        <v>31</v>
      </c>
      <c r="K113" s="56" t="s">
        <v>31</v>
      </c>
      <c r="L113" s="56" t="s">
        <v>31</v>
      </c>
      <c r="M113" s="56" t="s">
        <v>31</v>
      </c>
      <c r="N113" s="56" t="s">
        <v>31</v>
      </c>
      <c r="O113" s="50" t="str">
        <f>'A. ACDC POWER MODULE '!B4</f>
        <v>FACBC3E417194852B8E4083D698D8ED2</v>
      </c>
      <c r="P113" s="56" t="s">
        <v>1655</v>
      </c>
    </row>
    <row r="114" spans="1:16" ht="15.6">
      <c r="A114" s="50" t="str">
        <f>'B. DCDC POWER MODULE '!B2</f>
        <v>production of DCDC power module, battery charging, long-term</v>
      </c>
      <c r="B114" s="66">
        <v>48</v>
      </c>
      <c r="D114" s="50" t="s">
        <v>18</v>
      </c>
      <c r="E114" s="50" t="str">
        <f>E26</f>
        <v>GENESIS_2050_PEMFC-bat_Base</v>
      </c>
      <c r="F114" t="s">
        <v>1654</v>
      </c>
      <c r="G114" s="50" t="s">
        <v>14</v>
      </c>
      <c r="H114" s="50" t="s">
        <v>33</v>
      </c>
      <c r="I114" s="50">
        <v>0</v>
      </c>
      <c r="J114" s="56" t="s">
        <v>31</v>
      </c>
      <c r="K114" s="56" t="s">
        <v>31</v>
      </c>
      <c r="L114" s="56" t="s">
        <v>31</v>
      </c>
      <c r="M114" s="56" t="s">
        <v>31</v>
      </c>
      <c r="N114" s="56" t="s">
        <v>31</v>
      </c>
      <c r="O114" s="50" t="str">
        <f>'B. DCDC POWER MODULE '!B4</f>
        <v>1B2098F46C1D45D891A50C0C0AA76792</v>
      </c>
      <c r="P114" s="56" t="s">
        <v>1656</v>
      </c>
    </row>
    <row r="115" spans="1:16" ht="15.6">
      <c r="A115" s="50" t="str">
        <f>A37</f>
        <v>production of plug</v>
      </c>
      <c r="B115" s="50">
        <v>4</v>
      </c>
      <c r="D115" s="50" t="s">
        <v>18</v>
      </c>
      <c r="E115" s="50" t="str">
        <f>E37</f>
        <v>GENESIS_2050_PEMFC-bat_Base</v>
      </c>
      <c r="F115" s="50" t="str">
        <f>F37</f>
        <v>airport</v>
      </c>
      <c r="G115" s="50" t="str">
        <f>G37</f>
        <v>GLO</v>
      </c>
      <c r="H115" s="50" t="s">
        <v>33</v>
      </c>
      <c r="I115" s="50">
        <v>0</v>
      </c>
      <c r="J115" s="56" t="s">
        <v>31</v>
      </c>
      <c r="K115" s="56" t="s">
        <v>31</v>
      </c>
      <c r="L115" s="56" t="s">
        <v>31</v>
      </c>
      <c r="M115" s="56" t="s">
        <v>31</v>
      </c>
      <c r="N115" s="56" t="s">
        <v>31</v>
      </c>
      <c r="O115" s="50" t="str">
        <f>O37</f>
        <v>FF3166E8B44F4982A9EEC35A560063C4</v>
      </c>
      <c r="P115" s="56"/>
    </row>
    <row r="116" spans="1:16" ht="15.6">
      <c r="A116" s="50" t="str">
        <f>A55</f>
        <v>production of transformer</v>
      </c>
      <c r="B116" s="50">
        <v>48</v>
      </c>
      <c r="D116" s="50" t="str">
        <f>D55</f>
        <v>unit</v>
      </c>
      <c r="E116" s="50" t="str">
        <f t="shared" ref="E116:G116" si="1">E55</f>
        <v>GENESIS_2050_PEMFC-bat_Base</v>
      </c>
      <c r="F116" s="50" t="str">
        <f t="shared" si="1"/>
        <v>airport</v>
      </c>
      <c r="G116" s="50" t="str">
        <f t="shared" si="1"/>
        <v>GLO</v>
      </c>
      <c r="H116" s="50" t="s">
        <v>33</v>
      </c>
      <c r="I116" s="50">
        <v>0</v>
      </c>
      <c r="J116" s="56" t="s">
        <v>31</v>
      </c>
      <c r="K116" s="56" t="s">
        <v>31</v>
      </c>
      <c r="L116" s="56" t="s">
        <v>31</v>
      </c>
      <c r="M116" s="56" t="s">
        <v>31</v>
      </c>
      <c r="N116" s="56" t="s">
        <v>31</v>
      </c>
      <c r="O116" s="50" t="str">
        <f>O55</f>
        <v>E273023275094F8195D3F03BCCA9946C</v>
      </c>
      <c r="P116" s="56"/>
    </row>
    <row r="117" spans="1:16" ht="15.6">
      <c r="A117" s="50" t="str">
        <f>A70</f>
        <v>production of charging cable</v>
      </c>
      <c r="B117" s="50">
        <v>4</v>
      </c>
      <c r="D117" s="50" t="str">
        <f>D70</f>
        <v>unit</v>
      </c>
      <c r="E117" s="50" t="str">
        <f t="shared" ref="E117:G117" si="2">E70</f>
        <v>GENESIS_2050_PEMFC-bat_Base</v>
      </c>
      <c r="F117" s="50" t="str">
        <f t="shared" si="2"/>
        <v>airport</v>
      </c>
      <c r="G117" s="50" t="str">
        <f t="shared" si="2"/>
        <v>GLO</v>
      </c>
      <c r="H117" s="50" t="s">
        <v>33</v>
      </c>
      <c r="I117" s="50">
        <v>0</v>
      </c>
      <c r="J117" s="56" t="s">
        <v>31</v>
      </c>
      <c r="K117" s="56" t="s">
        <v>31</v>
      </c>
      <c r="L117" s="56" t="s">
        <v>31</v>
      </c>
      <c r="M117" s="56" t="s">
        <v>31</v>
      </c>
      <c r="N117" s="56" t="s">
        <v>31</v>
      </c>
      <c r="O117" s="50" t="str">
        <f>O70</f>
        <v>EF6B3F5E63DC47D3A0BBBDF84D4281CE</v>
      </c>
      <c r="P117" s="56"/>
    </row>
    <row r="118" spans="1:16" ht="15.6">
      <c r="A118" s="50" t="str">
        <f>A86</f>
        <v>produciton of control cabinet, fuses, signal cables</v>
      </c>
      <c r="B118" s="50">
        <v>16</v>
      </c>
      <c r="D118" s="50" t="str">
        <f>D86</f>
        <v>unit</v>
      </c>
      <c r="E118" s="50" t="str">
        <f t="shared" ref="E118:G118" si="3">E86</f>
        <v>GENESIS_2050_PEMFC-bat_Base</v>
      </c>
      <c r="F118" s="50" t="str">
        <f t="shared" si="3"/>
        <v>airport</v>
      </c>
      <c r="G118" s="50" t="str">
        <f t="shared" si="3"/>
        <v>GLO</v>
      </c>
      <c r="H118" s="50" t="s">
        <v>33</v>
      </c>
      <c r="I118" s="50">
        <v>0</v>
      </c>
      <c r="J118" s="56" t="s">
        <v>31</v>
      </c>
      <c r="K118" s="56" t="s">
        <v>31</v>
      </c>
      <c r="L118" s="56" t="s">
        <v>31</v>
      </c>
      <c r="M118" s="56" t="s">
        <v>31</v>
      </c>
      <c r="N118" s="56" t="s">
        <v>31</v>
      </c>
      <c r="O118" s="50" t="str">
        <f>O86</f>
        <v>6EA2BFB3D2844F798A82A1136EA2A047</v>
      </c>
      <c r="P118" s="56"/>
    </row>
    <row r="119" spans="1:16" ht="15.6">
      <c r="A119" s="50" t="str">
        <f>A98</f>
        <v>produciton of fans</v>
      </c>
      <c r="B119" s="50">
        <v>48</v>
      </c>
      <c r="D119" s="50" t="str">
        <f>D98</f>
        <v>unit</v>
      </c>
      <c r="E119" s="50" t="str">
        <f t="shared" ref="E119:G119" si="4">E98</f>
        <v>GENESIS_2050_PEMFC-bat_Base</v>
      </c>
      <c r="F119" s="50" t="str">
        <f t="shared" si="4"/>
        <v>airport</v>
      </c>
      <c r="G119" s="50" t="str">
        <f t="shared" si="4"/>
        <v>GLO</v>
      </c>
      <c r="H119" s="50" t="s">
        <v>33</v>
      </c>
      <c r="I119" s="50">
        <v>0</v>
      </c>
      <c r="J119" s="56" t="s">
        <v>31</v>
      </c>
      <c r="K119" s="56" t="s">
        <v>31</v>
      </c>
      <c r="L119" s="56" t="s">
        <v>31</v>
      </c>
      <c r="M119" s="56" t="s">
        <v>31</v>
      </c>
      <c r="N119" s="56" t="s">
        <v>31</v>
      </c>
      <c r="O119" s="50" t="str">
        <f>O98</f>
        <v>FB10AE9851404A5D9E9C092A15A46419</v>
      </c>
      <c r="P119" s="56"/>
    </row>
    <row r="120" spans="1:16" ht="15.6">
      <c r="A120" s="50" t="s">
        <v>1553</v>
      </c>
      <c r="B120" s="50">
        <v>1</v>
      </c>
      <c r="D120" s="50" t="s">
        <v>18</v>
      </c>
      <c r="E120" s="50" t="s">
        <v>2</v>
      </c>
      <c r="F120" s="50" t="s">
        <v>1554</v>
      </c>
      <c r="G120" s="50" t="s">
        <v>59</v>
      </c>
      <c r="H120" s="50" t="s">
        <v>33</v>
      </c>
      <c r="I120" s="50">
        <v>0</v>
      </c>
      <c r="J120" s="56" t="s">
        <v>31</v>
      </c>
      <c r="K120" s="56" t="s">
        <v>31</v>
      </c>
      <c r="L120" s="56" t="s">
        <v>31</v>
      </c>
      <c r="M120" s="56" t="s">
        <v>31</v>
      </c>
      <c r="N120" s="56" t="s">
        <v>31</v>
      </c>
    </row>
  </sheetData>
  <pageMargins left="0.7" right="0.7" top="0.75" bottom="0.75" header="0.3" footer="0.3"/>
  <pageSetup paperSize="9" orientation="portrai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6B77D-CAF7-447E-B6A8-AF9CCE65B9C5}">
  <dimension ref="A1:Q25"/>
  <sheetViews>
    <sheetView zoomScale="82" workbookViewId="0">
      <selection activeCell="B5" sqref="B5"/>
    </sheetView>
  </sheetViews>
  <sheetFormatPr defaultRowHeight="14.45"/>
  <cols>
    <col min="1" max="1" width="43.140625" bestFit="1" customWidth="1"/>
    <col min="4" max="4" width="34.42578125" bestFit="1" customWidth="1"/>
  </cols>
  <sheetData>
    <row r="1" spans="1:17">
      <c r="A1" t="s">
        <v>0</v>
      </c>
      <c r="B1">
        <v>14</v>
      </c>
    </row>
    <row r="2" spans="1:17" ht="15.6">
      <c r="A2" s="67" t="s">
        <v>5</v>
      </c>
      <c r="B2" s="68" t="s">
        <v>1657</v>
      </c>
      <c r="C2" s="69"/>
      <c r="D2" s="70"/>
      <c r="E2" s="70"/>
      <c r="F2" s="70"/>
      <c r="G2" s="70"/>
      <c r="H2" s="70"/>
      <c r="I2" s="70"/>
      <c r="J2" s="70"/>
      <c r="K2" s="70"/>
      <c r="L2" s="70"/>
      <c r="M2" s="70"/>
      <c r="Q2" t="s">
        <v>785</v>
      </c>
    </row>
    <row r="3" spans="1:17">
      <c r="A3" s="71" t="s">
        <v>7</v>
      </c>
      <c r="B3" t="s">
        <v>1654</v>
      </c>
      <c r="C3" s="72"/>
    </row>
    <row r="4" spans="1:17">
      <c r="A4" s="71" t="s">
        <v>9</v>
      </c>
      <c r="B4" t="s">
        <v>1658</v>
      </c>
      <c r="C4" s="72"/>
    </row>
    <row r="5" spans="1:17">
      <c r="A5" s="71" t="s">
        <v>11</v>
      </c>
      <c r="B5" s="73" t="s">
        <v>788</v>
      </c>
    </row>
    <row r="6" spans="1:17">
      <c r="A6" s="71" t="s">
        <v>13</v>
      </c>
      <c r="B6" s="74" t="s">
        <v>74</v>
      </c>
    </row>
    <row r="7" spans="1:17">
      <c r="A7" s="71" t="s">
        <v>15</v>
      </c>
      <c r="B7">
        <v>1</v>
      </c>
    </row>
    <row r="8" spans="1:17">
      <c r="A8" s="71" t="s">
        <v>16</v>
      </c>
      <c r="B8" t="s">
        <v>17</v>
      </c>
    </row>
    <row r="9" spans="1:17">
      <c r="A9" s="71" t="s">
        <v>18</v>
      </c>
      <c r="B9" t="s">
        <v>37</v>
      </c>
    </row>
    <row r="10" spans="1:17" ht="15.6">
      <c r="A10" s="75" t="s">
        <v>19</v>
      </c>
    </row>
    <row r="11" spans="1:17" ht="15.6">
      <c r="A11" s="7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7" ht="15.6">
      <c r="A12" s="17" t="s">
        <v>1657</v>
      </c>
      <c r="B12">
        <v>1</v>
      </c>
      <c r="C12" t="s">
        <v>37</v>
      </c>
      <c r="D12" s="17" t="s">
        <v>2</v>
      </c>
      <c r="E12" t="s">
        <v>29</v>
      </c>
      <c r="F12" s="74" t="s">
        <v>74</v>
      </c>
      <c r="G12" t="s">
        <v>30</v>
      </c>
      <c r="H12">
        <v>1</v>
      </c>
      <c r="I12">
        <v>1</v>
      </c>
      <c r="J12" t="s">
        <v>31</v>
      </c>
      <c r="K12" t="s">
        <v>31</v>
      </c>
      <c r="L12" t="s">
        <v>31</v>
      </c>
      <c r="M12" t="s">
        <v>31</v>
      </c>
    </row>
    <row r="13" spans="1:17" ht="15.6">
      <c r="A13" s="76" t="s">
        <v>789</v>
      </c>
      <c r="B13">
        <v>-1</v>
      </c>
      <c r="C13" t="s">
        <v>37</v>
      </c>
      <c r="D13" s="17" t="s">
        <v>40</v>
      </c>
      <c r="E13" t="s">
        <v>29</v>
      </c>
      <c r="F13" s="74" t="s">
        <v>74</v>
      </c>
      <c r="G13" t="s">
        <v>33</v>
      </c>
      <c r="H13">
        <v>1</v>
      </c>
      <c r="I13">
        <v>1</v>
      </c>
      <c r="J13" t="s">
        <v>31</v>
      </c>
      <c r="K13" t="s">
        <v>31</v>
      </c>
      <c r="L13" t="s">
        <v>31</v>
      </c>
      <c r="M13" t="s">
        <v>31</v>
      </c>
    </row>
    <row r="14" spans="1:17" ht="15.6">
      <c r="A14" s="67" t="s">
        <v>5</v>
      </c>
      <c r="B14" s="68" t="s">
        <v>1659</v>
      </c>
      <c r="C14" s="69"/>
      <c r="D14" s="70"/>
      <c r="E14" s="70"/>
      <c r="F14" s="70"/>
      <c r="G14" s="70"/>
      <c r="H14" s="70"/>
      <c r="I14" s="70"/>
      <c r="J14" s="70"/>
      <c r="K14" s="70"/>
      <c r="L14" s="70"/>
      <c r="M14" s="70"/>
    </row>
    <row r="15" spans="1:17">
      <c r="A15" s="71" t="s">
        <v>7</v>
      </c>
      <c r="B15" t="s">
        <v>1654</v>
      </c>
      <c r="C15" s="72"/>
    </row>
    <row r="16" spans="1:17">
      <c r="A16" s="71" t="s">
        <v>9</v>
      </c>
      <c r="B16" s="22" t="s">
        <v>1660</v>
      </c>
      <c r="C16" s="72"/>
    </row>
    <row r="17" spans="1:14">
      <c r="A17" s="71" t="s">
        <v>11</v>
      </c>
      <c r="B17" s="73" t="s">
        <v>788</v>
      </c>
    </row>
    <row r="18" spans="1:14">
      <c r="A18" s="71" t="s">
        <v>13</v>
      </c>
      <c r="B18" s="74" t="s">
        <v>74</v>
      </c>
    </row>
    <row r="19" spans="1:14">
      <c r="A19" s="71" t="s">
        <v>15</v>
      </c>
      <c r="B19">
        <v>1</v>
      </c>
    </row>
    <row r="20" spans="1:14">
      <c r="A20" s="71" t="s">
        <v>16</v>
      </c>
      <c r="B20" t="s">
        <v>17</v>
      </c>
    </row>
    <row r="21" spans="1:14">
      <c r="A21" s="71" t="s">
        <v>18</v>
      </c>
      <c r="B21" t="s">
        <v>37</v>
      </c>
    </row>
    <row r="22" spans="1:14" ht="15.6">
      <c r="A22" s="75" t="s">
        <v>19</v>
      </c>
    </row>
    <row r="23" spans="1:14" ht="15.6">
      <c r="A23" s="75" t="s">
        <v>20</v>
      </c>
      <c r="B23" s="16" t="s">
        <v>21</v>
      </c>
      <c r="C23" s="16" t="s">
        <v>18</v>
      </c>
      <c r="D23" s="16" t="s">
        <v>22</v>
      </c>
      <c r="E23" s="16" t="s">
        <v>7</v>
      </c>
      <c r="F23" s="16" t="s">
        <v>13</v>
      </c>
      <c r="G23" s="16" t="s">
        <v>16</v>
      </c>
      <c r="H23" s="16" t="s">
        <v>23</v>
      </c>
      <c r="I23" s="16" t="s">
        <v>24</v>
      </c>
      <c r="J23" s="16" t="s">
        <v>25</v>
      </c>
      <c r="K23" s="16" t="s">
        <v>26</v>
      </c>
      <c r="L23" s="16" t="s">
        <v>27</v>
      </c>
      <c r="M23" s="16" t="s">
        <v>28</v>
      </c>
      <c r="N23" s="16" t="s">
        <v>11</v>
      </c>
    </row>
    <row r="24" spans="1:14" ht="15.6">
      <c r="A24" s="17" t="s">
        <v>1659</v>
      </c>
      <c r="B24">
        <v>1</v>
      </c>
      <c r="C24" t="s">
        <v>37</v>
      </c>
      <c r="D24" s="17" t="s">
        <v>2</v>
      </c>
      <c r="E24" t="s">
        <v>29</v>
      </c>
      <c r="F24" s="74" t="s">
        <v>74</v>
      </c>
      <c r="G24" t="s">
        <v>30</v>
      </c>
      <c r="H24">
        <v>1</v>
      </c>
      <c r="I24">
        <v>1</v>
      </c>
      <c r="J24" t="s">
        <v>31</v>
      </c>
      <c r="K24" t="s">
        <v>31</v>
      </c>
      <c r="L24" t="s">
        <v>31</v>
      </c>
      <c r="M24" t="s">
        <v>31</v>
      </c>
    </row>
    <row r="25" spans="1:14" ht="15.6">
      <c r="A25" s="76" t="s">
        <v>312</v>
      </c>
      <c r="B25">
        <v>-1</v>
      </c>
      <c r="C25" t="s">
        <v>37</v>
      </c>
      <c r="D25" s="17" t="s">
        <v>40</v>
      </c>
      <c r="E25" t="s">
        <v>29</v>
      </c>
      <c r="F25" t="s">
        <v>74</v>
      </c>
      <c r="G25" t="s">
        <v>33</v>
      </c>
      <c r="H25">
        <v>1</v>
      </c>
      <c r="I25">
        <v>1</v>
      </c>
      <c r="J25" t="s">
        <v>31</v>
      </c>
      <c r="K25" t="s">
        <v>31</v>
      </c>
      <c r="L25" t="s">
        <v>31</v>
      </c>
      <c r="M25" t="s">
        <v>31</v>
      </c>
    </row>
  </sheetData>
  <pageMargins left="0.7" right="0.7" top="0.75" bottom="0.75" header="0.3" footer="0.3"/>
  <pageSetup paperSize="9" orientation="portrai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C7178-5986-45DA-81E2-C6382FE1B1DE}">
  <dimension ref="A1:T53"/>
  <sheetViews>
    <sheetView topLeftCell="A21" zoomScale="85" zoomScaleNormal="85" workbookViewId="0">
      <selection activeCell="B5" sqref="B5"/>
    </sheetView>
  </sheetViews>
  <sheetFormatPr defaultRowHeight="14.45"/>
  <cols>
    <col min="1" max="1" width="67.140625" customWidth="1"/>
    <col min="2" max="3" width="9.140625" customWidth="1"/>
    <col min="4" max="4" width="13.28515625" customWidth="1"/>
    <col min="5" max="5" width="39.5703125" customWidth="1"/>
    <col min="6" max="6" width="12.28515625" customWidth="1"/>
    <col min="7" max="7" width="27.85546875" customWidth="1"/>
    <col min="8" max="8" width="13.7109375" customWidth="1"/>
    <col min="19" max="20" width="5.7109375" customWidth="1"/>
  </cols>
  <sheetData>
    <row r="1" spans="1:17">
      <c r="A1" t="s">
        <v>0</v>
      </c>
      <c r="B1">
        <v>14</v>
      </c>
    </row>
    <row r="2" spans="1:17" ht="15.6">
      <c r="A2" s="67" t="s">
        <v>5</v>
      </c>
      <c r="B2" s="68" t="s">
        <v>1661</v>
      </c>
      <c r="C2" s="68"/>
      <c r="D2" s="69"/>
      <c r="E2" s="70"/>
      <c r="F2" s="70"/>
      <c r="G2" s="70"/>
      <c r="H2" s="70"/>
      <c r="I2" s="70"/>
      <c r="J2" s="70"/>
      <c r="K2" s="70"/>
      <c r="L2" s="70"/>
      <c r="M2" s="70"/>
      <c r="N2" s="70"/>
    </row>
    <row r="3" spans="1:17">
      <c r="A3" s="71" t="s">
        <v>7</v>
      </c>
      <c r="B3" t="s">
        <v>1654</v>
      </c>
      <c r="D3" s="72"/>
    </row>
    <row r="4" spans="1:17">
      <c r="A4" s="71" t="s">
        <v>9</v>
      </c>
      <c r="B4" t="s">
        <v>1662</v>
      </c>
      <c r="D4" s="72"/>
    </row>
    <row r="5" spans="1:17" ht="15" customHeight="1">
      <c r="A5" s="71" t="s">
        <v>11</v>
      </c>
      <c r="B5" s="73" t="s">
        <v>796</v>
      </c>
      <c r="C5" s="73"/>
    </row>
    <row r="6" spans="1:17">
      <c r="A6" s="71" t="s">
        <v>13</v>
      </c>
      <c r="B6" t="s">
        <v>14</v>
      </c>
      <c r="Q6" t="s">
        <v>1663</v>
      </c>
    </row>
    <row r="7" spans="1:17">
      <c r="A7" s="71" t="s">
        <v>15</v>
      </c>
      <c r="B7">
        <v>7.7843999999999997E-2</v>
      </c>
    </row>
    <row r="8" spans="1:17">
      <c r="A8" s="71" t="s">
        <v>16</v>
      </c>
      <c r="B8" t="s">
        <v>17</v>
      </c>
    </row>
    <row r="9" spans="1:17">
      <c r="A9" s="71" t="s">
        <v>18</v>
      </c>
      <c r="B9" t="s">
        <v>37</v>
      </c>
    </row>
    <row r="10" spans="1:17" ht="15.6">
      <c r="A10" s="75" t="s">
        <v>19</v>
      </c>
    </row>
    <row r="11" spans="1:17" ht="15.6">
      <c r="A11" s="75" t="s">
        <v>20</v>
      </c>
      <c r="B11" s="16" t="s">
        <v>21</v>
      </c>
      <c r="C11" s="77" t="s">
        <v>217</v>
      </c>
      <c r="D11" s="16" t="s">
        <v>18</v>
      </c>
      <c r="E11" s="16" t="s">
        <v>22</v>
      </c>
      <c r="F11" s="16" t="s">
        <v>7</v>
      </c>
      <c r="G11" s="16" t="s">
        <v>13</v>
      </c>
      <c r="H11" s="16" t="s">
        <v>16</v>
      </c>
      <c r="I11" s="16" t="s">
        <v>23</v>
      </c>
      <c r="J11" s="16" t="s">
        <v>24</v>
      </c>
      <c r="K11" s="16" t="s">
        <v>25</v>
      </c>
      <c r="L11" s="16" t="s">
        <v>26</v>
      </c>
      <c r="M11" s="16" t="s">
        <v>27</v>
      </c>
      <c r="N11" s="16" t="s">
        <v>28</v>
      </c>
      <c r="O11" s="16" t="s">
        <v>11</v>
      </c>
    </row>
    <row r="12" spans="1:17" ht="15.6">
      <c r="A12" s="76" t="s">
        <v>1661</v>
      </c>
      <c r="B12">
        <v>7.7843999999999997E-2</v>
      </c>
      <c r="D12" t="s">
        <v>37</v>
      </c>
      <c r="E12" s="17" t="s">
        <v>2</v>
      </c>
      <c r="F12" t="s">
        <v>29</v>
      </c>
      <c r="G12" s="74" t="s">
        <v>14</v>
      </c>
      <c r="H12" t="s">
        <v>30</v>
      </c>
      <c r="I12">
        <v>1</v>
      </c>
      <c r="J12">
        <f>B12</f>
        <v>7.7843999999999997E-2</v>
      </c>
      <c r="K12" t="s">
        <v>31</v>
      </c>
      <c r="L12" t="s">
        <v>31</v>
      </c>
      <c r="M12" t="s">
        <v>31</v>
      </c>
      <c r="N12" t="s">
        <v>31</v>
      </c>
    </row>
    <row r="13" spans="1:17" ht="15.6">
      <c r="A13" s="76" t="s">
        <v>1664</v>
      </c>
      <c r="B13">
        <v>1</v>
      </c>
      <c r="D13" t="s">
        <v>18</v>
      </c>
      <c r="E13" s="17" t="s">
        <v>2</v>
      </c>
      <c r="F13" t="s">
        <v>29</v>
      </c>
      <c r="G13" s="74" t="s">
        <v>14</v>
      </c>
      <c r="H13" t="s">
        <v>33</v>
      </c>
      <c r="I13">
        <v>1</v>
      </c>
      <c r="J13">
        <f>B13</f>
        <v>1</v>
      </c>
      <c r="K13" t="s">
        <v>31</v>
      </c>
      <c r="L13" t="s">
        <v>31</v>
      </c>
      <c r="M13" t="s">
        <v>31</v>
      </c>
      <c r="N13" t="s">
        <v>31</v>
      </c>
    </row>
    <row r="14" spans="1:17" ht="15.6">
      <c r="A14" s="76" t="s">
        <v>38</v>
      </c>
      <c r="B14">
        <v>1.02</v>
      </c>
      <c r="D14" t="s">
        <v>39</v>
      </c>
      <c r="E14" s="17" t="s">
        <v>40</v>
      </c>
      <c r="F14" t="s">
        <v>29</v>
      </c>
      <c r="G14" s="74" t="s">
        <v>14</v>
      </c>
      <c r="H14" t="s">
        <v>33</v>
      </c>
      <c r="I14">
        <v>2</v>
      </c>
      <c r="J14">
        <f>LN(B14)</f>
        <v>1.980262729617973E-2</v>
      </c>
      <c r="K14">
        <v>3.7749171999999998E-2</v>
      </c>
      <c r="L14" t="s">
        <v>31</v>
      </c>
      <c r="M14" t="s">
        <v>31</v>
      </c>
      <c r="N14" t="s">
        <v>31</v>
      </c>
    </row>
    <row r="15" spans="1:17" ht="15.6">
      <c r="A15" s="76" t="s">
        <v>798</v>
      </c>
      <c r="B15">
        <f>1.4/1000</f>
        <v>1.4E-3</v>
      </c>
      <c r="D15" t="s">
        <v>37</v>
      </c>
      <c r="E15" s="17" t="s">
        <v>40</v>
      </c>
      <c r="F15" t="s">
        <v>29</v>
      </c>
      <c r="G15" s="74" t="s">
        <v>35</v>
      </c>
      <c r="H15" t="s">
        <v>33</v>
      </c>
      <c r="I15">
        <v>2</v>
      </c>
      <c r="J15">
        <f t="shared" ref="J15:J27" si="0">LN(B15)</f>
        <v>-6.5712830423609239</v>
      </c>
      <c r="K15">
        <v>3.7749171999999998E-2</v>
      </c>
      <c r="L15" t="s">
        <v>31</v>
      </c>
      <c r="M15" t="s">
        <v>31</v>
      </c>
      <c r="N15" t="s">
        <v>31</v>
      </c>
    </row>
    <row r="16" spans="1:17" ht="15.6">
      <c r="A16" s="76" t="s">
        <v>308</v>
      </c>
      <c r="B16">
        <f>0.2/1000</f>
        <v>2.0000000000000001E-4</v>
      </c>
      <c r="D16" t="s">
        <v>37</v>
      </c>
      <c r="E16" s="17" t="s">
        <v>40</v>
      </c>
      <c r="F16" t="s">
        <v>29</v>
      </c>
      <c r="G16" s="74" t="s">
        <v>59</v>
      </c>
      <c r="H16" t="s">
        <v>33</v>
      </c>
      <c r="I16">
        <v>2</v>
      </c>
      <c r="J16">
        <f t="shared" si="0"/>
        <v>-8.5171931914162382</v>
      </c>
      <c r="K16">
        <v>3.7749171999999998E-2</v>
      </c>
      <c r="L16" t="s">
        <v>31</v>
      </c>
      <c r="M16" t="s">
        <v>31</v>
      </c>
      <c r="N16" t="s">
        <v>31</v>
      </c>
    </row>
    <row r="17" spans="1:17" ht="15.6">
      <c r="A17" s="76" t="s">
        <v>799</v>
      </c>
      <c r="B17">
        <f>7.1/1000</f>
        <v>7.0999999999999995E-3</v>
      </c>
      <c r="D17" t="s">
        <v>37</v>
      </c>
      <c r="E17" s="17" t="s">
        <v>40</v>
      </c>
      <c r="F17" t="s">
        <v>29</v>
      </c>
      <c r="G17" s="74" t="s">
        <v>74</v>
      </c>
      <c r="H17" t="s">
        <v>33</v>
      </c>
      <c r="I17">
        <v>2</v>
      </c>
      <c r="J17">
        <f t="shared" si="0"/>
        <v>-4.9476604949348673</v>
      </c>
      <c r="K17">
        <v>3.7749171999999998E-2</v>
      </c>
      <c r="L17" t="s">
        <v>31</v>
      </c>
      <c r="M17" t="s">
        <v>31</v>
      </c>
      <c r="N17" t="s">
        <v>31</v>
      </c>
    </row>
    <row r="18" spans="1:17" ht="15.6">
      <c r="A18" s="76" t="s">
        <v>202</v>
      </c>
      <c r="B18">
        <v>1.4</v>
      </c>
      <c r="D18" t="s">
        <v>37</v>
      </c>
      <c r="E18" s="17" t="s">
        <v>40</v>
      </c>
      <c r="F18" t="s">
        <v>29</v>
      </c>
      <c r="G18" s="74" t="s">
        <v>35</v>
      </c>
      <c r="H18" t="s">
        <v>33</v>
      </c>
      <c r="I18">
        <v>2</v>
      </c>
      <c r="J18">
        <f t="shared" si="0"/>
        <v>0.33647223662121289</v>
      </c>
      <c r="K18">
        <v>3.7749171999999998E-2</v>
      </c>
      <c r="L18" t="s">
        <v>31</v>
      </c>
      <c r="M18" t="s">
        <v>31</v>
      </c>
      <c r="N18" t="s">
        <v>31</v>
      </c>
    </row>
    <row r="19" spans="1:17" ht="15.6">
      <c r="A19" s="76" t="s">
        <v>800</v>
      </c>
      <c r="B19">
        <v>2E-3</v>
      </c>
      <c r="D19" t="s">
        <v>37</v>
      </c>
      <c r="E19" s="17" t="s">
        <v>40</v>
      </c>
      <c r="F19" t="s">
        <v>29</v>
      </c>
      <c r="G19" s="74" t="s">
        <v>59</v>
      </c>
      <c r="H19" t="s">
        <v>33</v>
      </c>
      <c r="I19">
        <v>2</v>
      </c>
      <c r="J19">
        <f t="shared" si="0"/>
        <v>-6.2146080984221914</v>
      </c>
      <c r="K19">
        <v>3.7749171999999998E-2</v>
      </c>
      <c r="L19" t="s">
        <v>31</v>
      </c>
      <c r="M19" t="s">
        <v>31</v>
      </c>
      <c r="N19" t="s">
        <v>31</v>
      </c>
    </row>
    <row r="20" spans="1:17" ht="15.6">
      <c r="A20" s="76" t="s">
        <v>801</v>
      </c>
      <c r="B20">
        <v>3.0000000000000001E-3</v>
      </c>
      <c r="D20" t="s">
        <v>37</v>
      </c>
      <c r="E20" s="17" t="s">
        <v>40</v>
      </c>
      <c r="F20" t="s">
        <v>29</v>
      </c>
      <c r="G20" s="74" t="s">
        <v>59</v>
      </c>
      <c r="H20" t="s">
        <v>33</v>
      </c>
      <c r="I20">
        <v>2</v>
      </c>
      <c r="J20">
        <f t="shared" si="0"/>
        <v>-5.8091429903140277</v>
      </c>
      <c r="K20">
        <v>3.7749171999999998E-2</v>
      </c>
      <c r="L20" t="s">
        <v>31</v>
      </c>
      <c r="M20" t="s">
        <v>31</v>
      </c>
      <c r="N20" t="s">
        <v>31</v>
      </c>
    </row>
    <row r="21" spans="1:17" ht="15.6">
      <c r="A21" s="76" t="s">
        <v>802</v>
      </c>
      <c r="B21">
        <v>2.9999999999999997E-4</v>
      </c>
      <c r="D21" t="s">
        <v>37</v>
      </c>
      <c r="E21" s="17" t="s">
        <v>40</v>
      </c>
      <c r="F21" t="s">
        <v>29</v>
      </c>
      <c r="G21" s="74" t="s">
        <v>35</v>
      </c>
      <c r="H21" t="s">
        <v>33</v>
      </c>
      <c r="I21">
        <v>2</v>
      </c>
      <c r="J21">
        <f t="shared" si="0"/>
        <v>-8.1117280833080727</v>
      </c>
      <c r="K21">
        <v>3.7749171999999998E-2</v>
      </c>
      <c r="L21" t="s">
        <v>31</v>
      </c>
      <c r="M21" t="s">
        <v>31</v>
      </c>
      <c r="N21" t="s">
        <v>31</v>
      </c>
    </row>
    <row r="22" spans="1:17" ht="15.6">
      <c r="A22" s="76" t="s">
        <v>803</v>
      </c>
      <c r="B22">
        <v>1.5E-3</v>
      </c>
      <c r="D22" t="s">
        <v>37</v>
      </c>
      <c r="E22" s="17" t="s">
        <v>40</v>
      </c>
      <c r="F22" t="s">
        <v>29</v>
      </c>
      <c r="G22" s="74" t="s">
        <v>59</v>
      </c>
      <c r="H22" t="s">
        <v>33</v>
      </c>
      <c r="I22">
        <v>2</v>
      </c>
      <c r="J22">
        <f t="shared" si="0"/>
        <v>-6.5022901708739722</v>
      </c>
      <c r="K22">
        <v>3.7749171999999998E-2</v>
      </c>
      <c r="L22" t="s">
        <v>31</v>
      </c>
      <c r="M22" t="s">
        <v>31</v>
      </c>
      <c r="N22" t="s">
        <v>31</v>
      </c>
    </row>
    <row r="23" spans="1:17" ht="15.6">
      <c r="A23" s="76" t="s">
        <v>804</v>
      </c>
      <c r="B23">
        <v>5.0000000000000001E-4</v>
      </c>
      <c r="D23" t="s">
        <v>37</v>
      </c>
      <c r="E23" s="17" t="s">
        <v>40</v>
      </c>
      <c r="F23" t="s">
        <v>29</v>
      </c>
      <c r="G23" s="74" t="s">
        <v>35</v>
      </c>
      <c r="H23" t="s">
        <v>33</v>
      </c>
      <c r="I23">
        <v>2</v>
      </c>
      <c r="J23">
        <f t="shared" si="0"/>
        <v>-7.6009024595420822</v>
      </c>
      <c r="K23">
        <v>3.7749171999999998E-2</v>
      </c>
      <c r="L23" t="s">
        <v>31</v>
      </c>
      <c r="M23" t="s">
        <v>31</v>
      </c>
      <c r="N23" t="s">
        <v>31</v>
      </c>
    </row>
    <row r="24" spans="1:17" ht="15.6">
      <c r="A24" s="76" t="s">
        <v>322</v>
      </c>
      <c r="B24">
        <v>8.9999999999999992E-5</v>
      </c>
      <c r="D24" t="s">
        <v>37</v>
      </c>
      <c r="E24" s="17" t="s">
        <v>43</v>
      </c>
      <c r="F24" t="s">
        <v>44</v>
      </c>
      <c r="G24" s="74" t="s">
        <v>29</v>
      </c>
      <c r="H24" t="s">
        <v>45</v>
      </c>
      <c r="I24">
        <v>2</v>
      </c>
      <c r="J24">
        <f t="shared" si="0"/>
        <v>-9.3157008876340086</v>
      </c>
      <c r="K24">
        <v>3.7749171999999998E-2</v>
      </c>
      <c r="L24" t="s">
        <v>31</v>
      </c>
      <c r="M24" t="s">
        <v>31</v>
      </c>
      <c r="N24" t="s">
        <v>31</v>
      </c>
    </row>
    <row r="25" spans="1:17" ht="15.6">
      <c r="A25" s="76" t="s">
        <v>758</v>
      </c>
      <c r="B25">
        <v>3.3999999999999998E-3</v>
      </c>
      <c r="D25" t="s">
        <v>37</v>
      </c>
      <c r="E25" s="17" t="s">
        <v>43</v>
      </c>
      <c r="F25" t="s">
        <v>44</v>
      </c>
      <c r="G25" s="74" t="s">
        <v>29</v>
      </c>
      <c r="H25" t="s">
        <v>45</v>
      </c>
      <c r="I25">
        <v>2</v>
      </c>
      <c r="J25">
        <f t="shared" si="0"/>
        <v>-5.6839798473600212</v>
      </c>
      <c r="K25">
        <v>3.7749171999999998E-2</v>
      </c>
      <c r="L25" t="s">
        <v>31</v>
      </c>
      <c r="M25" t="s">
        <v>31</v>
      </c>
      <c r="N25" t="s">
        <v>31</v>
      </c>
    </row>
    <row r="26" spans="1:17" ht="15.6">
      <c r="A26" s="17" t="s">
        <v>1657</v>
      </c>
      <c r="B26">
        <v>1.4E-3</v>
      </c>
      <c r="D26" t="s">
        <v>37</v>
      </c>
      <c r="E26" s="17" t="s">
        <v>2</v>
      </c>
      <c r="F26" t="s">
        <v>29</v>
      </c>
      <c r="G26" s="74" t="s">
        <v>74</v>
      </c>
      <c r="H26" t="s">
        <v>33</v>
      </c>
      <c r="I26">
        <v>2</v>
      </c>
      <c r="J26">
        <f t="shared" si="0"/>
        <v>-6.5712830423609239</v>
      </c>
      <c r="K26">
        <v>3.7749171999999998E-2</v>
      </c>
      <c r="L26" t="s">
        <v>31</v>
      </c>
      <c r="M26" t="s">
        <v>31</v>
      </c>
      <c r="N26" t="s">
        <v>31</v>
      </c>
    </row>
    <row r="27" spans="1:17" ht="15.6">
      <c r="A27" s="17" t="s">
        <v>1659</v>
      </c>
      <c r="B27">
        <v>6.0000000000000002E-5</v>
      </c>
      <c r="D27" t="s">
        <v>37</v>
      </c>
      <c r="E27" s="17" t="s">
        <v>2</v>
      </c>
      <c r="F27" t="s">
        <v>29</v>
      </c>
      <c r="G27" t="s">
        <v>74</v>
      </c>
      <c r="H27" t="s">
        <v>33</v>
      </c>
      <c r="I27">
        <v>2</v>
      </c>
      <c r="J27">
        <f t="shared" si="0"/>
        <v>-9.7211659957421741</v>
      </c>
      <c r="K27">
        <v>3.7749171999999998E-2</v>
      </c>
      <c r="L27" t="s">
        <v>31</v>
      </c>
      <c r="M27" t="s">
        <v>31</v>
      </c>
      <c r="N27" t="s">
        <v>31</v>
      </c>
    </row>
    <row r="28" spans="1:17" ht="15.6">
      <c r="A28" s="67" t="s">
        <v>5</v>
      </c>
      <c r="B28" s="68" t="s">
        <v>1664</v>
      </c>
      <c r="C28" s="68"/>
      <c r="D28" s="69"/>
      <c r="E28" s="70"/>
      <c r="F28" s="70"/>
      <c r="G28" s="70"/>
      <c r="H28" s="70"/>
      <c r="I28" s="70"/>
      <c r="J28" s="70"/>
      <c r="K28" s="70"/>
      <c r="L28" s="70"/>
      <c r="M28" s="70"/>
      <c r="N28" s="70"/>
    </row>
    <row r="29" spans="1:17">
      <c r="A29" s="71" t="s">
        <v>7</v>
      </c>
      <c r="B29" t="s">
        <v>1654</v>
      </c>
      <c r="D29" s="72"/>
      <c r="Q29" t="s">
        <v>1663</v>
      </c>
    </row>
    <row r="30" spans="1:17">
      <c r="A30" s="71" t="s">
        <v>9</v>
      </c>
      <c r="B30" t="s">
        <v>1665</v>
      </c>
      <c r="D30" s="72"/>
    </row>
    <row r="31" spans="1:17" ht="15.75" customHeight="1">
      <c r="A31" s="71" t="s">
        <v>11</v>
      </c>
      <c r="B31" s="73" t="s">
        <v>796</v>
      </c>
      <c r="C31" s="73"/>
    </row>
    <row r="32" spans="1:17">
      <c r="A32" s="71" t="s">
        <v>13</v>
      </c>
      <c r="B32" t="s">
        <v>14</v>
      </c>
    </row>
    <row r="33" spans="1:20">
      <c r="A33" s="71" t="s">
        <v>15</v>
      </c>
      <c r="B33">
        <v>1</v>
      </c>
    </row>
    <row r="34" spans="1:20">
      <c r="A34" s="71" t="s">
        <v>16</v>
      </c>
      <c r="B34" t="s">
        <v>17</v>
      </c>
    </row>
    <row r="35" spans="1:20">
      <c r="A35" s="71" t="s">
        <v>18</v>
      </c>
      <c r="B35" t="s">
        <v>18</v>
      </c>
    </row>
    <row r="36" spans="1:20" ht="15.6">
      <c r="A36" s="75" t="s">
        <v>19</v>
      </c>
    </row>
    <row r="37" spans="1:20" ht="15.6">
      <c r="A37" s="75" t="s">
        <v>20</v>
      </c>
      <c r="B37" s="16" t="s">
        <v>21</v>
      </c>
      <c r="C37" s="77" t="s">
        <v>217</v>
      </c>
      <c r="D37" s="16" t="s">
        <v>18</v>
      </c>
      <c r="E37" s="16" t="s">
        <v>22</v>
      </c>
      <c r="F37" s="16" t="s">
        <v>7</v>
      </c>
      <c r="G37" s="16" t="s">
        <v>13</v>
      </c>
      <c r="H37" s="16" t="s">
        <v>16</v>
      </c>
      <c r="I37" s="16" t="s">
        <v>23</v>
      </c>
      <c r="J37" s="16" t="s">
        <v>24</v>
      </c>
      <c r="K37" s="16" t="s">
        <v>25</v>
      </c>
      <c r="L37" s="16" t="s">
        <v>26</v>
      </c>
      <c r="M37" s="16" t="s">
        <v>27</v>
      </c>
      <c r="N37" s="16" t="s">
        <v>28</v>
      </c>
      <c r="O37" s="16" t="s">
        <v>11</v>
      </c>
    </row>
    <row r="38" spans="1:20" ht="15.6">
      <c r="A38" s="76" t="s">
        <v>1664</v>
      </c>
      <c r="B38">
        <v>1</v>
      </c>
      <c r="D38" t="s">
        <v>18</v>
      </c>
      <c r="E38" s="17" t="s">
        <v>2</v>
      </c>
      <c r="F38" t="s">
        <v>29</v>
      </c>
      <c r="G38" s="74" t="s">
        <v>14</v>
      </c>
      <c r="H38" t="s">
        <v>30</v>
      </c>
      <c r="I38">
        <v>1</v>
      </c>
      <c r="J38">
        <f>B38</f>
        <v>1</v>
      </c>
      <c r="K38" t="s">
        <v>31</v>
      </c>
      <c r="L38" t="s">
        <v>31</v>
      </c>
      <c r="M38" t="s">
        <v>31</v>
      </c>
      <c r="N38" t="s">
        <v>31</v>
      </c>
    </row>
    <row r="39" spans="1:20" ht="15.6">
      <c r="A39" s="76" t="s">
        <v>806</v>
      </c>
      <c r="B39">
        <f>T39</f>
        <v>1.4999999999999999E-2</v>
      </c>
      <c r="D39" t="s">
        <v>609</v>
      </c>
      <c r="E39" s="17" t="s">
        <v>40</v>
      </c>
      <c r="F39" t="s">
        <v>29</v>
      </c>
      <c r="G39" s="74" t="s">
        <v>59</v>
      </c>
      <c r="H39" t="s">
        <v>33</v>
      </c>
      <c r="I39">
        <v>2</v>
      </c>
      <c r="J39">
        <f>LN(B39)</f>
        <v>-4.1997050778799272</v>
      </c>
      <c r="K39">
        <v>2.8722813232690055E-2</v>
      </c>
      <c r="L39" t="s">
        <v>31</v>
      </c>
      <c r="M39" t="s">
        <v>31</v>
      </c>
      <c r="N39" t="s">
        <v>31</v>
      </c>
      <c r="Q39" s="78" t="s">
        <v>807</v>
      </c>
      <c r="R39" s="79">
        <v>1.5</v>
      </c>
      <c r="S39" t="s">
        <v>610</v>
      </c>
      <c r="T39">
        <f>R39*0.01</f>
        <v>1.4999999999999999E-2</v>
      </c>
    </row>
    <row r="40" spans="1:20" ht="15.6">
      <c r="A40" s="76" t="s">
        <v>808</v>
      </c>
      <c r="B40">
        <f>T40</f>
        <v>2.8E-3</v>
      </c>
      <c r="D40" t="s">
        <v>37</v>
      </c>
      <c r="E40" s="17" t="s">
        <v>40</v>
      </c>
      <c r="F40" t="s">
        <v>29</v>
      </c>
      <c r="G40" s="74" t="s">
        <v>59</v>
      </c>
      <c r="H40" t="s">
        <v>33</v>
      </c>
      <c r="I40">
        <v>2</v>
      </c>
      <c r="J40">
        <f t="shared" ref="J40:J50" si="1">LN(B40)</f>
        <v>-5.8781358618009785</v>
      </c>
      <c r="K40">
        <v>2.8722813232690055E-2</v>
      </c>
      <c r="L40" t="s">
        <v>31</v>
      </c>
      <c r="M40" t="s">
        <v>31</v>
      </c>
      <c r="N40" t="s">
        <v>31</v>
      </c>
      <c r="Q40" s="80" t="s">
        <v>580</v>
      </c>
      <c r="R40" s="81">
        <v>2.8</v>
      </c>
      <c r="S40" t="s">
        <v>241</v>
      </c>
      <c r="T40">
        <f>R40*0.001</f>
        <v>2.8E-3</v>
      </c>
    </row>
    <row r="41" spans="1:20" ht="15.6">
      <c r="A41" s="76" t="s">
        <v>809</v>
      </c>
      <c r="B41">
        <f t="shared" ref="B41:B50" si="2">T41</f>
        <v>2.2000000000000001E-3</v>
      </c>
      <c r="D41" t="s">
        <v>37</v>
      </c>
      <c r="E41" s="17" t="s">
        <v>40</v>
      </c>
      <c r="F41" t="s">
        <v>29</v>
      </c>
      <c r="G41" s="74" t="s">
        <v>59</v>
      </c>
      <c r="H41" t="s">
        <v>33</v>
      </c>
      <c r="I41">
        <v>2</v>
      </c>
      <c r="J41">
        <f t="shared" si="1"/>
        <v>-6.1192979186178666</v>
      </c>
      <c r="K41">
        <v>2.8722813232690055E-2</v>
      </c>
      <c r="L41" t="s">
        <v>31</v>
      </c>
      <c r="M41" t="s">
        <v>31</v>
      </c>
      <c r="N41" t="s">
        <v>31</v>
      </c>
      <c r="Q41" s="78" t="s">
        <v>580</v>
      </c>
      <c r="R41" s="79">
        <v>2.2000000000000002</v>
      </c>
      <c r="S41" t="s">
        <v>241</v>
      </c>
      <c r="T41">
        <f t="shared" ref="T41:T50" si="3">R41*0.001</f>
        <v>2.2000000000000001E-3</v>
      </c>
    </row>
    <row r="42" spans="1:20" ht="15.6">
      <c r="A42" s="76" t="s">
        <v>810</v>
      </c>
      <c r="B42">
        <f t="shared" si="2"/>
        <v>2.2000000000000001E-3</v>
      </c>
      <c r="D42" t="s">
        <v>37</v>
      </c>
      <c r="E42" s="17" t="s">
        <v>40</v>
      </c>
      <c r="F42" t="s">
        <v>29</v>
      </c>
      <c r="G42" s="74" t="s">
        <v>59</v>
      </c>
      <c r="H42" t="s">
        <v>33</v>
      </c>
      <c r="I42">
        <v>2</v>
      </c>
      <c r="J42">
        <f t="shared" si="1"/>
        <v>-6.1192979186178666</v>
      </c>
      <c r="K42">
        <v>2.8722813232690055E-2</v>
      </c>
      <c r="L42" t="s">
        <v>31</v>
      </c>
      <c r="M42" t="s">
        <v>31</v>
      </c>
      <c r="N42" t="s">
        <v>31</v>
      </c>
      <c r="Q42" s="80" t="s">
        <v>580</v>
      </c>
      <c r="R42" s="81">
        <v>2.2000000000000002</v>
      </c>
      <c r="S42" t="s">
        <v>241</v>
      </c>
      <c r="T42">
        <f t="shared" si="3"/>
        <v>2.2000000000000001E-3</v>
      </c>
    </row>
    <row r="43" spans="1:20" ht="15.6">
      <c r="A43" s="76" t="s">
        <v>811</v>
      </c>
      <c r="B43">
        <f t="shared" si="2"/>
        <v>1.8000000000000002E-2</v>
      </c>
      <c r="D43" t="s">
        <v>37</v>
      </c>
      <c r="E43" s="17" t="s">
        <v>40</v>
      </c>
      <c r="F43" t="s">
        <v>29</v>
      </c>
      <c r="G43" s="74" t="s">
        <v>59</v>
      </c>
      <c r="H43" t="s">
        <v>33</v>
      </c>
      <c r="I43">
        <v>2</v>
      </c>
      <c r="J43">
        <f t="shared" si="1"/>
        <v>-4.0173835210859723</v>
      </c>
      <c r="K43">
        <v>2.8722813232690055E-2</v>
      </c>
      <c r="L43" t="s">
        <v>31</v>
      </c>
      <c r="M43" t="s">
        <v>31</v>
      </c>
      <c r="N43" t="s">
        <v>31</v>
      </c>
      <c r="Q43" s="78" t="s">
        <v>580</v>
      </c>
      <c r="R43" s="82">
        <v>18</v>
      </c>
      <c r="S43" t="s">
        <v>241</v>
      </c>
      <c r="T43">
        <f t="shared" si="3"/>
        <v>1.8000000000000002E-2</v>
      </c>
    </row>
    <row r="44" spans="1:20" ht="15.6">
      <c r="A44" s="76" t="s">
        <v>812</v>
      </c>
      <c r="B44">
        <f t="shared" si="2"/>
        <v>9.0000000000000002E-6</v>
      </c>
      <c r="D44" t="s">
        <v>37</v>
      </c>
      <c r="E44" s="17" t="s">
        <v>40</v>
      </c>
      <c r="F44" t="s">
        <v>29</v>
      </c>
      <c r="G44" s="74" t="s">
        <v>59</v>
      </c>
      <c r="H44" t="s">
        <v>33</v>
      </c>
      <c r="I44">
        <v>2</v>
      </c>
      <c r="J44">
        <f t="shared" si="1"/>
        <v>-11.618285980628055</v>
      </c>
      <c r="K44">
        <v>2.8722813232690055E-2</v>
      </c>
      <c r="L44" t="s">
        <v>31</v>
      </c>
      <c r="M44" t="s">
        <v>31</v>
      </c>
      <c r="N44" t="s">
        <v>31</v>
      </c>
      <c r="Q44" s="80" t="s">
        <v>538</v>
      </c>
      <c r="R44" s="81">
        <v>9</v>
      </c>
      <c r="S44" t="s">
        <v>241</v>
      </c>
      <c r="T44">
        <f>R44*0.000001</f>
        <v>9.0000000000000002E-6</v>
      </c>
    </row>
    <row r="45" spans="1:20" ht="15.6">
      <c r="A45" s="76" t="s">
        <v>813</v>
      </c>
      <c r="B45">
        <f t="shared" si="2"/>
        <v>3.8E-3</v>
      </c>
      <c r="D45" t="s">
        <v>37</v>
      </c>
      <c r="E45" s="17" t="s">
        <v>40</v>
      </c>
      <c r="F45" t="s">
        <v>29</v>
      </c>
      <c r="G45" s="74" t="s">
        <v>59</v>
      </c>
      <c r="H45" t="s">
        <v>33</v>
      </c>
      <c r="I45">
        <v>2</v>
      </c>
      <c r="J45">
        <f t="shared" si="1"/>
        <v>-5.5727542122497971</v>
      </c>
      <c r="K45">
        <v>2.8722813232690055E-2</v>
      </c>
      <c r="L45" t="s">
        <v>31</v>
      </c>
      <c r="M45" t="s">
        <v>31</v>
      </c>
      <c r="N45" t="s">
        <v>31</v>
      </c>
      <c r="Q45" s="78" t="s">
        <v>580</v>
      </c>
      <c r="R45" s="79">
        <v>3.8</v>
      </c>
      <c r="S45" t="s">
        <v>241</v>
      </c>
      <c r="T45">
        <f t="shared" si="3"/>
        <v>3.8E-3</v>
      </c>
    </row>
    <row r="46" spans="1:20" ht="15.6">
      <c r="A46" s="76" t="s">
        <v>814</v>
      </c>
      <c r="B46">
        <f t="shared" si="2"/>
        <v>3.7000000000000002E-3</v>
      </c>
      <c r="D46" t="s">
        <v>37</v>
      </c>
      <c r="E46" s="17" t="s">
        <v>40</v>
      </c>
      <c r="F46" t="s">
        <v>29</v>
      </c>
      <c r="G46" s="74" t="s">
        <v>59</v>
      </c>
      <c r="H46" t="s">
        <v>33</v>
      </c>
      <c r="I46">
        <v>2</v>
      </c>
      <c r="J46">
        <f t="shared" si="1"/>
        <v>-5.5994224593319579</v>
      </c>
      <c r="K46">
        <v>2.8722813232690055E-2</v>
      </c>
      <c r="L46" t="s">
        <v>31</v>
      </c>
      <c r="M46" t="s">
        <v>31</v>
      </c>
      <c r="N46" t="s">
        <v>31</v>
      </c>
      <c r="Q46" s="80" t="s">
        <v>580</v>
      </c>
      <c r="R46" s="81">
        <v>3.7</v>
      </c>
      <c r="S46" t="s">
        <v>241</v>
      </c>
      <c r="T46">
        <f t="shared" si="3"/>
        <v>3.7000000000000002E-3</v>
      </c>
    </row>
    <row r="47" spans="1:20" ht="15.6">
      <c r="A47" s="76" t="s">
        <v>815</v>
      </c>
      <c r="B47">
        <f t="shared" si="2"/>
        <v>3.4999999999999997E-5</v>
      </c>
      <c r="D47" t="s">
        <v>37</v>
      </c>
      <c r="E47" s="17" t="s">
        <v>40</v>
      </c>
      <c r="F47" t="s">
        <v>29</v>
      </c>
      <c r="G47" s="74" t="s">
        <v>59</v>
      </c>
      <c r="H47" t="s">
        <v>33</v>
      </c>
      <c r="I47">
        <v>2</v>
      </c>
      <c r="J47">
        <f t="shared" si="1"/>
        <v>-10.260162496474861</v>
      </c>
      <c r="K47">
        <v>2.8722813232690055E-2</v>
      </c>
      <c r="L47" t="s">
        <v>31</v>
      </c>
      <c r="M47" t="s">
        <v>31</v>
      </c>
      <c r="N47" t="s">
        <v>31</v>
      </c>
      <c r="Q47" s="78" t="s">
        <v>538</v>
      </c>
      <c r="R47" s="83">
        <v>35</v>
      </c>
      <c r="S47" t="s">
        <v>241</v>
      </c>
      <c r="T47">
        <f>R47*0.000001</f>
        <v>3.4999999999999997E-5</v>
      </c>
    </row>
    <row r="48" spans="1:20" ht="15.6">
      <c r="A48" s="76" t="s">
        <v>816</v>
      </c>
      <c r="B48">
        <f t="shared" si="2"/>
        <v>1E-3</v>
      </c>
      <c r="D48" t="s">
        <v>37</v>
      </c>
      <c r="E48" s="17" t="s">
        <v>40</v>
      </c>
      <c r="F48" t="s">
        <v>29</v>
      </c>
      <c r="G48" s="74" t="s">
        <v>59</v>
      </c>
      <c r="H48" t="s">
        <v>33</v>
      </c>
      <c r="I48">
        <v>2</v>
      </c>
      <c r="J48">
        <f t="shared" si="1"/>
        <v>-6.9077552789821368</v>
      </c>
      <c r="K48">
        <v>2.8722813232690055E-2</v>
      </c>
      <c r="L48" t="s">
        <v>31</v>
      </c>
      <c r="M48" t="s">
        <v>31</v>
      </c>
      <c r="N48" t="s">
        <v>31</v>
      </c>
      <c r="Q48" s="80" t="s">
        <v>580</v>
      </c>
      <c r="R48" s="81">
        <v>1</v>
      </c>
      <c r="S48" t="s">
        <v>241</v>
      </c>
      <c r="T48">
        <f t="shared" si="3"/>
        <v>1E-3</v>
      </c>
    </row>
    <row r="49" spans="1:20" ht="15.6">
      <c r="A49" s="76" t="s">
        <v>817</v>
      </c>
      <c r="B49">
        <f t="shared" si="2"/>
        <v>0.03</v>
      </c>
      <c r="D49" t="s">
        <v>37</v>
      </c>
      <c r="E49" s="17" t="s">
        <v>40</v>
      </c>
      <c r="F49" t="s">
        <v>29</v>
      </c>
      <c r="G49" s="74" t="s">
        <v>59</v>
      </c>
      <c r="H49" t="s">
        <v>33</v>
      </c>
      <c r="I49">
        <v>2</v>
      </c>
      <c r="J49">
        <f t="shared" si="1"/>
        <v>-3.5065578973199818</v>
      </c>
      <c r="K49">
        <v>2.8722813232690055E-2</v>
      </c>
      <c r="L49" t="s">
        <v>31</v>
      </c>
      <c r="M49" t="s">
        <v>31</v>
      </c>
      <c r="N49" t="s">
        <v>31</v>
      </c>
      <c r="Q49" s="78" t="s">
        <v>580</v>
      </c>
      <c r="R49" s="83">
        <v>30</v>
      </c>
      <c r="S49" t="s">
        <v>241</v>
      </c>
      <c r="T49">
        <f t="shared" si="3"/>
        <v>0.03</v>
      </c>
    </row>
    <row r="50" spans="1:20" ht="15.6">
      <c r="A50" s="76" t="s">
        <v>818</v>
      </c>
      <c r="B50">
        <f t="shared" si="2"/>
        <v>1.3000000000000002E-3</v>
      </c>
      <c r="D50" t="s">
        <v>37</v>
      </c>
      <c r="E50" s="17" t="s">
        <v>40</v>
      </c>
      <c r="F50" t="s">
        <v>29</v>
      </c>
      <c r="G50" s="74" t="s">
        <v>59</v>
      </c>
      <c r="H50" t="s">
        <v>33</v>
      </c>
      <c r="I50">
        <v>2</v>
      </c>
      <c r="J50">
        <f t="shared" si="1"/>
        <v>-6.6453910145146455</v>
      </c>
      <c r="K50">
        <v>2.8722813232690055E-2</v>
      </c>
      <c r="L50" t="s">
        <v>31</v>
      </c>
      <c r="M50" t="s">
        <v>31</v>
      </c>
      <c r="N50" t="s">
        <v>31</v>
      </c>
      <c r="Q50" s="80" t="s">
        <v>580</v>
      </c>
      <c r="R50" s="81">
        <v>1.3</v>
      </c>
      <c r="S50" t="s">
        <v>241</v>
      </c>
      <c r="T50">
        <f t="shared" si="3"/>
        <v>1.3000000000000002E-3</v>
      </c>
    </row>
    <row r="51" spans="1:20" ht="15.6">
      <c r="A51" s="76"/>
      <c r="E51" s="17"/>
      <c r="G51" s="74"/>
    </row>
    <row r="52" spans="1:20" ht="15.6">
      <c r="A52" s="17"/>
      <c r="E52" s="17"/>
      <c r="G52" s="74"/>
    </row>
    <row r="53" spans="1:20" ht="15.6">
      <c r="A53" s="17"/>
      <c r="E53"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topLeftCell="A63" zoomScale="70" zoomScaleNormal="70" workbookViewId="0">
      <selection activeCell="B85" sqref="B85"/>
    </sheetView>
  </sheetViews>
  <sheetFormatPr defaultRowHeight="14.4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18" t="s">
        <v>5</v>
      </c>
      <c r="B2" s="19" t="s">
        <v>56</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157</v>
      </c>
      <c r="C4" s="4"/>
      <c r="D4" s="13"/>
      <c r="E4" s="13"/>
      <c r="F4" s="13"/>
      <c r="G4" s="13"/>
      <c r="H4" s="13"/>
      <c r="I4" s="13"/>
      <c r="J4" s="13"/>
      <c r="K4" s="13"/>
      <c r="L4" s="13"/>
      <c r="M4" s="13"/>
    </row>
    <row r="5" spans="1:13" ht="43.5">
      <c r="A5" s="12" t="s">
        <v>11</v>
      </c>
      <c r="B5" s="14" t="s">
        <v>158</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56</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159</v>
      </c>
      <c r="B13" s="13">
        <v>1</v>
      </c>
      <c r="C13" s="13" t="s">
        <v>18</v>
      </c>
      <c r="D13" s="13" t="s">
        <v>2</v>
      </c>
      <c r="E13" s="13" t="s">
        <v>29</v>
      </c>
      <c r="F13" s="13" t="s">
        <v>14</v>
      </c>
      <c r="G13" s="13" t="s">
        <v>33</v>
      </c>
      <c r="H13" s="13">
        <v>1</v>
      </c>
      <c r="I13" s="13">
        <v>1</v>
      </c>
      <c r="J13" s="13" t="s">
        <v>31</v>
      </c>
      <c r="K13" s="13" t="s">
        <v>31</v>
      </c>
      <c r="L13" s="13" t="s">
        <v>31</v>
      </c>
      <c r="M13" s="13" t="s">
        <v>31</v>
      </c>
    </row>
    <row r="14" spans="1:13">
      <c r="A14" s="12" t="s">
        <v>160</v>
      </c>
      <c r="B14" s="13">
        <v>1</v>
      </c>
      <c r="C14" s="13" t="s">
        <v>18</v>
      </c>
      <c r="D14" s="13" t="s">
        <v>2</v>
      </c>
      <c r="E14" s="13" t="s">
        <v>29</v>
      </c>
      <c r="F14" s="13" t="s">
        <v>14</v>
      </c>
      <c r="G14" s="13" t="s">
        <v>33</v>
      </c>
      <c r="H14" s="13">
        <v>1</v>
      </c>
      <c r="I14" s="13">
        <v>1</v>
      </c>
      <c r="J14" s="13" t="s">
        <v>31</v>
      </c>
      <c r="K14" s="13" t="s">
        <v>31</v>
      </c>
      <c r="L14" s="13" t="s">
        <v>31</v>
      </c>
      <c r="M14" s="13" t="s">
        <v>31</v>
      </c>
    </row>
    <row r="15" spans="1:13">
      <c r="A15" s="12" t="s">
        <v>161</v>
      </c>
      <c r="B15" s="13">
        <v>1</v>
      </c>
      <c r="C15" s="13" t="s">
        <v>18</v>
      </c>
      <c r="D15" s="13" t="s">
        <v>2</v>
      </c>
      <c r="E15" s="13" t="s">
        <v>29</v>
      </c>
      <c r="F15" s="13" t="s">
        <v>14</v>
      </c>
      <c r="G15" s="13" t="s">
        <v>33</v>
      </c>
      <c r="H15" s="13">
        <v>1</v>
      </c>
      <c r="I15" s="13">
        <v>1</v>
      </c>
      <c r="J15" s="13" t="s">
        <v>31</v>
      </c>
      <c r="K15" s="13" t="s">
        <v>31</v>
      </c>
      <c r="L15" s="13" t="s">
        <v>31</v>
      </c>
      <c r="M15" s="13" t="s">
        <v>31</v>
      </c>
    </row>
    <row r="16" spans="1:13">
      <c r="A16" s="12" t="s">
        <v>162</v>
      </c>
      <c r="B16" s="13">
        <v>1</v>
      </c>
      <c r="C16" s="13" t="s">
        <v>18</v>
      </c>
      <c r="D16" s="13" t="s">
        <v>2</v>
      </c>
      <c r="E16" s="13" t="s">
        <v>29</v>
      </c>
      <c r="F16" s="13" t="s">
        <v>14</v>
      </c>
      <c r="G16" s="13" t="s">
        <v>33</v>
      </c>
      <c r="H16" s="13">
        <v>1</v>
      </c>
      <c r="I16" s="13">
        <v>1</v>
      </c>
      <c r="J16" s="13" t="s">
        <v>31</v>
      </c>
      <c r="K16" s="13" t="s">
        <v>31</v>
      </c>
      <c r="L16" s="13" t="s">
        <v>31</v>
      </c>
      <c r="M16" s="13" t="s">
        <v>31</v>
      </c>
    </row>
    <row r="17" spans="1:13">
      <c r="A17" s="12" t="s">
        <v>163</v>
      </c>
      <c r="B17" s="13">
        <v>1</v>
      </c>
      <c r="C17" s="13" t="s">
        <v>18</v>
      </c>
      <c r="D17" s="13" t="s">
        <v>2</v>
      </c>
      <c r="E17" s="13" t="s">
        <v>29</v>
      </c>
      <c r="F17" s="13" t="s">
        <v>14</v>
      </c>
      <c r="G17" s="13" t="s">
        <v>33</v>
      </c>
      <c r="H17" s="13">
        <v>1</v>
      </c>
      <c r="I17" s="13">
        <v>1</v>
      </c>
      <c r="J17" s="13" t="s">
        <v>31</v>
      </c>
      <c r="K17" s="13" t="s">
        <v>31</v>
      </c>
      <c r="L17" s="13" t="s">
        <v>31</v>
      </c>
      <c r="M17" s="13" t="s">
        <v>31</v>
      </c>
    </row>
    <row r="18" spans="1:13">
      <c r="A18" s="13" t="s">
        <v>164</v>
      </c>
      <c r="B18" s="13">
        <v>1</v>
      </c>
      <c r="C18" s="13" t="s">
        <v>18</v>
      </c>
      <c r="D18" s="13" t="s">
        <v>2</v>
      </c>
      <c r="E18" s="13" t="s">
        <v>29</v>
      </c>
      <c r="F18" s="13" t="s">
        <v>14</v>
      </c>
      <c r="G18" s="13" t="s">
        <v>33</v>
      </c>
      <c r="H18" s="13">
        <v>1</v>
      </c>
      <c r="I18" s="13">
        <v>1</v>
      </c>
      <c r="J18" s="13" t="s">
        <v>31</v>
      </c>
      <c r="K18" s="13" t="s">
        <v>31</v>
      </c>
      <c r="L18" s="13" t="s">
        <v>31</v>
      </c>
      <c r="M18" s="13" t="s">
        <v>31</v>
      </c>
    </row>
    <row r="19" spans="1:13">
      <c r="A19" s="18" t="s">
        <v>5</v>
      </c>
      <c r="B19" s="19" t="s">
        <v>159</v>
      </c>
      <c r="C19" s="3"/>
      <c r="D19" s="11"/>
      <c r="E19" s="11"/>
      <c r="F19" s="11"/>
      <c r="G19" s="11"/>
      <c r="H19" s="11"/>
      <c r="I19" s="11"/>
      <c r="J19" s="11"/>
      <c r="K19" s="11"/>
      <c r="L19" s="11"/>
      <c r="M19" s="11"/>
    </row>
    <row r="20" spans="1:13">
      <c r="A20" s="12" t="s">
        <v>7</v>
      </c>
      <c r="B20" s="13" t="s">
        <v>165</v>
      </c>
      <c r="C20" s="4"/>
      <c r="D20" s="13"/>
      <c r="E20" s="13"/>
      <c r="F20" s="13"/>
      <c r="G20" s="13"/>
      <c r="H20" s="13"/>
      <c r="I20" s="13"/>
      <c r="J20" s="13"/>
      <c r="K20" s="13"/>
      <c r="L20" s="13"/>
      <c r="M20" s="13"/>
    </row>
    <row r="21" spans="1:13">
      <c r="A21" s="12" t="s">
        <v>9</v>
      </c>
      <c r="B21" s="13" t="s">
        <v>166</v>
      </c>
      <c r="C21" s="4"/>
      <c r="D21" s="13"/>
      <c r="E21" s="13"/>
      <c r="F21" s="13"/>
      <c r="G21" s="13"/>
      <c r="H21" s="13"/>
      <c r="I21" s="13"/>
      <c r="J21" s="13"/>
      <c r="K21" s="13"/>
      <c r="L21" s="13"/>
      <c r="M21" s="13"/>
    </row>
    <row r="22" spans="1:13" ht="29.1">
      <c r="A22" s="12" t="s">
        <v>11</v>
      </c>
      <c r="B22" s="14" t="s">
        <v>167</v>
      </c>
      <c r="C22" s="13"/>
      <c r="D22" s="13"/>
      <c r="E22" s="13"/>
      <c r="F22" s="13"/>
      <c r="G22" s="13"/>
      <c r="H22" s="13"/>
      <c r="I22" s="13"/>
      <c r="J22" s="13"/>
      <c r="K22" s="13"/>
      <c r="L22" s="13"/>
      <c r="M22" s="13"/>
    </row>
    <row r="23" spans="1:13">
      <c r="A23" s="12" t="s">
        <v>13</v>
      </c>
      <c r="B23" s="13" t="s">
        <v>14</v>
      </c>
      <c r="C23" s="13"/>
      <c r="D23" s="13"/>
      <c r="E23" s="13"/>
      <c r="F23" s="13"/>
      <c r="G23" s="13"/>
      <c r="H23" s="13"/>
      <c r="I23" s="13"/>
      <c r="J23" s="13"/>
      <c r="K23" s="13"/>
      <c r="L23" s="13"/>
      <c r="M23" s="13"/>
    </row>
    <row r="24" spans="1:13">
      <c r="A24" s="12" t="s">
        <v>15</v>
      </c>
      <c r="B24" s="13">
        <v>1</v>
      </c>
      <c r="C24" s="13"/>
      <c r="D24" s="13"/>
      <c r="E24" s="13"/>
      <c r="F24" s="13"/>
      <c r="G24" s="13"/>
      <c r="H24" s="13"/>
      <c r="I24" s="13"/>
      <c r="J24" s="13"/>
      <c r="K24" s="13"/>
      <c r="L24" s="13"/>
      <c r="M24" s="13"/>
    </row>
    <row r="25" spans="1:13">
      <c r="A25" s="12" t="s">
        <v>16</v>
      </c>
      <c r="B25" s="13" t="s">
        <v>17</v>
      </c>
      <c r="C25" s="13"/>
      <c r="D25" s="13"/>
      <c r="E25" s="13"/>
      <c r="F25" s="13"/>
      <c r="G25" s="13"/>
      <c r="H25" s="13"/>
      <c r="I25" s="13"/>
      <c r="J25" s="13"/>
      <c r="K25" s="13"/>
      <c r="L25" s="13"/>
      <c r="M25" s="13"/>
    </row>
    <row r="26" spans="1:13">
      <c r="A26" s="12" t="s">
        <v>18</v>
      </c>
      <c r="B26" s="13" t="s">
        <v>18</v>
      </c>
      <c r="C26" s="13"/>
      <c r="D26" s="13"/>
      <c r="E26" s="13"/>
      <c r="F26" s="13"/>
      <c r="G26" s="13"/>
      <c r="H26" s="13"/>
      <c r="I26" s="13"/>
      <c r="J26" s="13"/>
      <c r="K26" s="13"/>
      <c r="L26" s="13"/>
      <c r="M26" s="13"/>
    </row>
    <row r="27" spans="1:13">
      <c r="A27" s="20" t="s">
        <v>19</v>
      </c>
      <c r="B27" s="13"/>
      <c r="C27" s="13"/>
      <c r="D27" s="13"/>
      <c r="E27" s="13"/>
      <c r="F27" s="13"/>
      <c r="G27" s="13"/>
      <c r="H27" s="13"/>
      <c r="I27" s="13"/>
      <c r="J27" s="13"/>
      <c r="K27" s="13"/>
      <c r="L27" s="13"/>
      <c r="M27" s="13"/>
    </row>
    <row r="28" spans="1:13">
      <c r="A28" s="20" t="s">
        <v>20</v>
      </c>
      <c r="B28" s="21" t="s">
        <v>21</v>
      </c>
      <c r="C28" s="21" t="s">
        <v>18</v>
      </c>
      <c r="D28" s="21" t="s">
        <v>22</v>
      </c>
      <c r="E28" s="21" t="s">
        <v>7</v>
      </c>
      <c r="F28" s="21" t="s">
        <v>13</v>
      </c>
      <c r="G28" s="21" t="s">
        <v>16</v>
      </c>
      <c r="H28" s="21" t="s">
        <v>23</v>
      </c>
      <c r="I28" s="21" t="s">
        <v>24</v>
      </c>
      <c r="J28" s="21" t="s">
        <v>25</v>
      </c>
      <c r="K28" s="21" t="s">
        <v>26</v>
      </c>
      <c r="L28" s="21" t="s">
        <v>27</v>
      </c>
      <c r="M28" s="21" t="s">
        <v>28</v>
      </c>
    </row>
    <row r="29" spans="1:13">
      <c r="A29" s="12" t="s">
        <v>159</v>
      </c>
      <c r="B29" s="13">
        <v>1</v>
      </c>
      <c r="C29" s="13" t="s">
        <v>18</v>
      </c>
      <c r="D29" s="13" t="s">
        <v>2</v>
      </c>
      <c r="E29" s="13" t="s">
        <v>29</v>
      </c>
      <c r="F29" s="13" t="s">
        <v>14</v>
      </c>
      <c r="G29" s="13" t="s">
        <v>30</v>
      </c>
      <c r="H29" s="13">
        <v>1</v>
      </c>
      <c r="I29" s="13">
        <v>1</v>
      </c>
      <c r="J29" s="13" t="s">
        <v>31</v>
      </c>
      <c r="K29" s="13" t="s">
        <v>31</v>
      </c>
      <c r="L29" s="13" t="s">
        <v>31</v>
      </c>
      <c r="M29" s="13" t="s">
        <v>31</v>
      </c>
    </row>
    <row r="30" spans="1:13">
      <c r="A30" s="12" t="s">
        <v>155</v>
      </c>
      <c r="B30" s="13">
        <v>0.95000000000000007</v>
      </c>
      <c r="C30" s="13" t="s">
        <v>37</v>
      </c>
      <c r="D30" s="13" t="s">
        <v>40</v>
      </c>
      <c r="E30" s="13" t="s">
        <v>29</v>
      </c>
      <c r="F30" s="13" t="s">
        <v>82</v>
      </c>
      <c r="G30" s="13" t="s">
        <v>33</v>
      </c>
      <c r="H30" s="13">
        <v>2</v>
      </c>
      <c r="I30" s="13">
        <f>LN(B30)</f>
        <v>-5.129329438755046E-2</v>
      </c>
      <c r="J30" s="13">
        <v>0.29325756597230351</v>
      </c>
      <c r="K30" s="13" t="s">
        <v>31</v>
      </c>
      <c r="L30" s="13" t="s">
        <v>31</v>
      </c>
      <c r="M30" s="13" t="s">
        <v>31</v>
      </c>
    </row>
    <row r="31" spans="1:13">
      <c r="A31" s="12" t="s">
        <v>85</v>
      </c>
      <c r="B31" s="13">
        <v>18.05</v>
      </c>
      <c r="C31" s="13" t="s">
        <v>37</v>
      </c>
      <c r="D31" s="13" t="s">
        <v>40</v>
      </c>
      <c r="E31" s="13" t="s">
        <v>29</v>
      </c>
      <c r="F31" s="13" t="s">
        <v>59</v>
      </c>
      <c r="G31" s="13" t="s">
        <v>33</v>
      </c>
      <c r="H31" s="13">
        <v>2</v>
      </c>
      <c r="I31" s="13">
        <f>LN(B31)</f>
        <v>2.8931456847788901</v>
      </c>
      <c r="J31" s="13">
        <v>0.29325756597230351</v>
      </c>
      <c r="K31" s="13" t="s">
        <v>31</v>
      </c>
      <c r="L31" s="13" t="s">
        <v>31</v>
      </c>
      <c r="M31" s="13" t="s">
        <v>31</v>
      </c>
    </row>
    <row r="32" spans="1:13">
      <c r="A32" s="18" t="s">
        <v>5</v>
      </c>
      <c r="B32" s="19" t="s">
        <v>160</v>
      </c>
      <c r="C32" s="3"/>
      <c r="D32" s="11"/>
      <c r="E32" s="11"/>
      <c r="F32" s="11"/>
      <c r="G32" s="11"/>
      <c r="H32" s="11"/>
      <c r="I32" s="11"/>
      <c r="J32" s="11"/>
      <c r="K32" s="11"/>
      <c r="L32" s="11"/>
      <c r="M32" s="11"/>
    </row>
    <row r="33" spans="1:13">
      <c r="A33" s="12" t="s">
        <v>7</v>
      </c>
      <c r="B33" s="13" t="s">
        <v>165</v>
      </c>
      <c r="C33" s="4"/>
      <c r="D33" s="13"/>
      <c r="E33" s="13"/>
      <c r="F33" s="13"/>
      <c r="G33" s="13"/>
      <c r="H33" s="13"/>
      <c r="I33" s="13"/>
      <c r="J33" s="13"/>
      <c r="K33" s="13"/>
      <c r="L33" s="13"/>
      <c r="M33" s="13"/>
    </row>
    <row r="34" spans="1:13">
      <c r="A34" s="12" t="s">
        <v>9</v>
      </c>
      <c r="B34" s="13" t="s">
        <v>168</v>
      </c>
      <c r="C34" s="4"/>
      <c r="D34" s="13"/>
      <c r="E34" s="13"/>
      <c r="F34" s="13"/>
      <c r="G34" s="13"/>
      <c r="H34" s="13"/>
      <c r="I34" s="13"/>
      <c r="J34" s="13"/>
      <c r="K34" s="13"/>
      <c r="L34" s="13"/>
      <c r="M34" s="13"/>
    </row>
    <row r="35" spans="1:13" ht="29.1">
      <c r="A35" s="12" t="s">
        <v>11</v>
      </c>
      <c r="B35" s="14" t="s">
        <v>169</v>
      </c>
      <c r="C35" s="13"/>
      <c r="D35" s="13"/>
      <c r="E35" s="13"/>
      <c r="F35" s="13"/>
      <c r="G35" s="13"/>
      <c r="H35" s="13"/>
      <c r="I35" s="13"/>
      <c r="J35" s="13"/>
      <c r="K35" s="13"/>
      <c r="L35" s="13"/>
      <c r="M35" s="13"/>
    </row>
    <row r="36" spans="1:13">
      <c r="A36" s="12" t="s">
        <v>13</v>
      </c>
      <c r="B36" s="13" t="s">
        <v>14</v>
      </c>
      <c r="C36" s="13"/>
      <c r="D36" s="13"/>
      <c r="E36" s="13"/>
      <c r="F36" s="13"/>
      <c r="G36" s="13"/>
      <c r="H36" s="13"/>
      <c r="I36" s="13"/>
      <c r="J36" s="13"/>
      <c r="K36" s="13"/>
      <c r="L36" s="13"/>
      <c r="M36" s="13"/>
    </row>
    <row r="37" spans="1:13">
      <c r="A37" s="12" t="s">
        <v>15</v>
      </c>
      <c r="B37" s="13">
        <v>1</v>
      </c>
      <c r="C37" s="13"/>
      <c r="D37" s="13"/>
      <c r="E37" s="13"/>
      <c r="F37" s="13"/>
      <c r="G37" s="13"/>
      <c r="H37" s="13"/>
      <c r="I37" s="13"/>
      <c r="J37" s="13"/>
      <c r="K37" s="13"/>
      <c r="L37" s="13"/>
      <c r="M37" s="13"/>
    </row>
    <row r="38" spans="1:13">
      <c r="A38" s="12" t="s">
        <v>16</v>
      </c>
      <c r="B38" s="13" t="s">
        <v>17</v>
      </c>
      <c r="C38" s="13"/>
      <c r="D38" s="13"/>
      <c r="E38" s="13"/>
      <c r="F38" s="13"/>
      <c r="G38" s="13"/>
      <c r="H38" s="13"/>
      <c r="I38" s="13"/>
      <c r="J38" s="13"/>
      <c r="K38" s="13"/>
      <c r="L38" s="13"/>
      <c r="M38" s="13"/>
    </row>
    <row r="39" spans="1:13">
      <c r="A39" s="12" t="s">
        <v>18</v>
      </c>
      <c r="B39" s="13" t="s">
        <v>18</v>
      </c>
      <c r="C39" s="13"/>
      <c r="D39" s="13"/>
      <c r="E39" s="13"/>
      <c r="F39" s="13"/>
      <c r="G39" s="13"/>
      <c r="H39" s="13"/>
      <c r="I39" s="13"/>
      <c r="J39" s="13"/>
      <c r="K39" s="13"/>
      <c r="L39" s="13"/>
      <c r="M39" s="13"/>
    </row>
    <row r="40" spans="1:13">
      <c r="A40" s="20" t="s">
        <v>19</v>
      </c>
      <c r="B40" s="13"/>
      <c r="C40" s="13"/>
      <c r="D40" s="13"/>
      <c r="E40" s="13"/>
      <c r="F40" s="13"/>
      <c r="G40" s="13"/>
      <c r="H40" s="13"/>
      <c r="I40" s="13"/>
      <c r="J40" s="13"/>
      <c r="K40" s="13"/>
      <c r="L40" s="13"/>
      <c r="M40" s="13"/>
    </row>
    <row r="41" spans="1:13">
      <c r="A41" s="20" t="s">
        <v>20</v>
      </c>
      <c r="B41" s="21" t="s">
        <v>21</v>
      </c>
      <c r="C41" s="21" t="s">
        <v>18</v>
      </c>
      <c r="D41" s="21" t="s">
        <v>22</v>
      </c>
      <c r="E41" s="21" t="s">
        <v>7</v>
      </c>
      <c r="F41" s="21" t="s">
        <v>13</v>
      </c>
      <c r="G41" s="21" t="s">
        <v>16</v>
      </c>
      <c r="H41" s="21" t="s">
        <v>23</v>
      </c>
      <c r="I41" s="21" t="s">
        <v>24</v>
      </c>
      <c r="J41" s="21" t="s">
        <v>25</v>
      </c>
      <c r="K41" s="21" t="s">
        <v>26</v>
      </c>
      <c r="L41" s="21" t="s">
        <v>27</v>
      </c>
      <c r="M41" s="21" t="s">
        <v>28</v>
      </c>
    </row>
    <row r="42" spans="1:13">
      <c r="A42" s="12" t="s">
        <v>160</v>
      </c>
      <c r="B42" s="13">
        <v>1</v>
      </c>
      <c r="C42" s="13" t="s">
        <v>18</v>
      </c>
      <c r="D42" s="13" t="s">
        <v>2</v>
      </c>
      <c r="E42" s="13" t="s">
        <v>29</v>
      </c>
      <c r="F42" s="13" t="s">
        <v>14</v>
      </c>
      <c r="G42" s="13" t="s">
        <v>30</v>
      </c>
      <c r="H42" s="13">
        <v>1</v>
      </c>
      <c r="I42" s="13">
        <v>1</v>
      </c>
      <c r="J42" s="13" t="s">
        <v>31</v>
      </c>
      <c r="K42" s="13" t="s">
        <v>31</v>
      </c>
      <c r="L42" s="13" t="s">
        <v>31</v>
      </c>
      <c r="M42" s="13" t="s">
        <v>31</v>
      </c>
    </row>
    <row r="43" spans="1:13">
      <c r="A43" s="12" t="s">
        <v>85</v>
      </c>
      <c r="B43" s="13">
        <v>301.19</v>
      </c>
      <c r="C43" s="13" t="s">
        <v>37</v>
      </c>
      <c r="D43" s="13" t="s">
        <v>40</v>
      </c>
      <c r="E43" s="13" t="s">
        <v>29</v>
      </c>
      <c r="F43" s="13" t="s">
        <v>59</v>
      </c>
      <c r="G43" s="13" t="s">
        <v>33</v>
      </c>
      <c r="H43" s="13">
        <v>2</v>
      </c>
      <c r="I43" s="13">
        <f>LN(B43)</f>
        <v>5.7077412948433803</v>
      </c>
      <c r="J43" s="13">
        <v>0.29325756597230351</v>
      </c>
      <c r="K43" s="13" t="s">
        <v>31</v>
      </c>
      <c r="L43" s="13" t="s">
        <v>31</v>
      </c>
      <c r="M43" s="13" t="s">
        <v>31</v>
      </c>
    </row>
    <row r="44" spans="1:13">
      <c r="A44" s="18" t="s">
        <v>5</v>
      </c>
      <c r="B44" s="19" t="s">
        <v>161</v>
      </c>
      <c r="C44" s="3"/>
      <c r="D44" s="11"/>
      <c r="E44" s="11"/>
      <c r="F44" s="11"/>
      <c r="G44" s="11"/>
      <c r="H44" s="11"/>
      <c r="I44" s="11"/>
      <c r="J44" s="11"/>
      <c r="K44" s="11"/>
      <c r="L44" s="11"/>
      <c r="M44" s="11"/>
    </row>
    <row r="45" spans="1:13">
      <c r="A45" s="12" t="s">
        <v>7</v>
      </c>
      <c r="B45" s="13" t="s">
        <v>165</v>
      </c>
      <c r="C45" s="4"/>
      <c r="D45" s="13"/>
      <c r="E45" s="13"/>
      <c r="F45" s="13"/>
      <c r="G45" s="13"/>
      <c r="H45" s="13"/>
      <c r="I45" s="13"/>
      <c r="J45" s="13"/>
      <c r="K45" s="13"/>
      <c r="L45" s="13"/>
      <c r="M45" s="13"/>
    </row>
    <row r="46" spans="1:13">
      <c r="A46" s="12" t="s">
        <v>9</v>
      </c>
      <c r="B46" s="13" t="s">
        <v>170</v>
      </c>
      <c r="C46" s="4"/>
      <c r="D46" s="13"/>
      <c r="E46" s="13"/>
      <c r="F46" s="13"/>
      <c r="G46" s="13"/>
      <c r="H46" s="13"/>
      <c r="I46" s="13"/>
      <c r="J46" s="13"/>
      <c r="K46" s="13"/>
      <c r="L46" s="13"/>
      <c r="M46" s="13"/>
    </row>
    <row r="47" spans="1:13" ht="29.1">
      <c r="A47" s="12" t="s">
        <v>11</v>
      </c>
      <c r="B47" s="14" t="s">
        <v>171</v>
      </c>
      <c r="C47" s="13"/>
      <c r="D47" s="13"/>
      <c r="E47" s="13"/>
      <c r="F47" s="13"/>
      <c r="G47" s="13"/>
      <c r="H47" s="13"/>
      <c r="I47" s="13"/>
      <c r="J47" s="13"/>
      <c r="K47" s="13"/>
      <c r="L47" s="13"/>
      <c r="M47" s="13"/>
    </row>
    <row r="48" spans="1:13">
      <c r="A48" s="12" t="s">
        <v>13</v>
      </c>
      <c r="B48" s="13" t="s">
        <v>14</v>
      </c>
      <c r="C48" s="13"/>
      <c r="D48" s="13"/>
      <c r="E48" s="13"/>
      <c r="F48" s="13"/>
      <c r="G48" s="13"/>
      <c r="H48" s="13"/>
      <c r="I48" s="13"/>
      <c r="J48" s="13"/>
      <c r="K48" s="13"/>
      <c r="L48" s="13"/>
      <c r="M48" s="13"/>
    </row>
    <row r="49" spans="1:13">
      <c r="A49" s="12" t="s">
        <v>15</v>
      </c>
      <c r="B49" s="13">
        <v>1</v>
      </c>
      <c r="C49" s="13"/>
      <c r="D49" s="13"/>
      <c r="E49" s="13"/>
      <c r="F49" s="13"/>
      <c r="G49" s="13"/>
      <c r="H49" s="13"/>
      <c r="I49" s="13"/>
      <c r="J49" s="13"/>
      <c r="K49" s="13"/>
      <c r="L49" s="13"/>
      <c r="M49" s="13"/>
    </row>
    <row r="50" spans="1:13">
      <c r="A50" s="12" t="s">
        <v>16</v>
      </c>
      <c r="B50" s="13" t="s">
        <v>17</v>
      </c>
      <c r="C50" s="13"/>
      <c r="D50" s="13"/>
      <c r="E50" s="13"/>
      <c r="F50" s="13"/>
      <c r="G50" s="13"/>
      <c r="H50" s="13"/>
      <c r="I50" s="13"/>
      <c r="J50" s="13"/>
      <c r="K50" s="13"/>
      <c r="L50" s="13"/>
      <c r="M50" s="13"/>
    </row>
    <row r="51" spans="1:13">
      <c r="A51" s="12" t="s">
        <v>18</v>
      </c>
      <c r="B51" s="13" t="s">
        <v>18</v>
      </c>
      <c r="C51" s="13"/>
      <c r="D51" s="13"/>
      <c r="E51" s="13"/>
      <c r="F51" s="13"/>
      <c r="G51" s="13"/>
      <c r="H51" s="13"/>
      <c r="I51" s="13"/>
      <c r="J51" s="13"/>
      <c r="K51" s="13"/>
      <c r="L51" s="13"/>
      <c r="M51" s="13"/>
    </row>
    <row r="52" spans="1:13">
      <c r="A52" s="20" t="s">
        <v>19</v>
      </c>
      <c r="B52" s="13"/>
      <c r="C52" s="13"/>
      <c r="D52" s="13"/>
      <c r="E52" s="13"/>
      <c r="F52" s="13"/>
      <c r="G52" s="13"/>
      <c r="H52" s="13"/>
      <c r="I52" s="13"/>
      <c r="J52" s="13"/>
      <c r="K52" s="13"/>
      <c r="L52" s="13"/>
      <c r="M52" s="13"/>
    </row>
    <row r="53" spans="1:13">
      <c r="A53" s="20" t="s">
        <v>20</v>
      </c>
      <c r="B53" s="21" t="s">
        <v>21</v>
      </c>
      <c r="C53" s="21" t="s">
        <v>18</v>
      </c>
      <c r="D53" s="21" t="s">
        <v>22</v>
      </c>
      <c r="E53" s="21" t="s">
        <v>7</v>
      </c>
      <c r="F53" s="21" t="s">
        <v>13</v>
      </c>
      <c r="G53" s="21" t="s">
        <v>16</v>
      </c>
      <c r="H53" s="21" t="s">
        <v>23</v>
      </c>
      <c r="I53" s="21" t="s">
        <v>24</v>
      </c>
      <c r="J53" s="21" t="s">
        <v>25</v>
      </c>
      <c r="K53" s="21" t="s">
        <v>26</v>
      </c>
      <c r="L53" s="21" t="s">
        <v>27</v>
      </c>
      <c r="M53" s="21" t="s">
        <v>28</v>
      </c>
    </row>
    <row r="54" spans="1:13">
      <c r="A54" s="12" t="s">
        <v>161</v>
      </c>
      <c r="B54" s="13">
        <v>1</v>
      </c>
      <c r="C54" s="13" t="s">
        <v>18</v>
      </c>
      <c r="D54" s="13" t="s">
        <v>2</v>
      </c>
      <c r="E54" s="13" t="s">
        <v>29</v>
      </c>
      <c r="F54" s="13" t="s">
        <v>14</v>
      </c>
      <c r="G54" s="13" t="s">
        <v>30</v>
      </c>
      <c r="H54" s="13">
        <v>1</v>
      </c>
      <c r="I54" s="13">
        <v>1</v>
      </c>
      <c r="J54" s="13" t="s">
        <v>31</v>
      </c>
      <c r="K54" s="13" t="s">
        <v>31</v>
      </c>
      <c r="L54" s="13" t="s">
        <v>31</v>
      </c>
      <c r="M54" s="13" t="s">
        <v>31</v>
      </c>
    </row>
    <row r="55" spans="1:13">
      <c r="A55" s="12" t="s">
        <v>172</v>
      </c>
      <c r="B55" s="13">
        <v>10</v>
      </c>
      <c r="C55" s="13" t="s">
        <v>37</v>
      </c>
      <c r="D55" s="13" t="s">
        <v>40</v>
      </c>
      <c r="E55" s="13" t="s">
        <v>29</v>
      </c>
      <c r="F55" s="13" t="s">
        <v>59</v>
      </c>
      <c r="G55" s="13" t="s">
        <v>33</v>
      </c>
      <c r="H55" s="13">
        <v>2</v>
      </c>
      <c r="I55" s="13">
        <f>LN(B55)</f>
        <v>2.3025850929940459</v>
      </c>
      <c r="J55" s="13">
        <v>0.29325756597230351</v>
      </c>
      <c r="K55" s="13" t="s">
        <v>31</v>
      </c>
      <c r="L55" s="13" t="s">
        <v>31</v>
      </c>
      <c r="M55" s="13" t="s">
        <v>31</v>
      </c>
    </row>
    <row r="56" spans="1:13">
      <c r="A56" s="18" t="s">
        <v>5</v>
      </c>
      <c r="B56" s="19" t="s">
        <v>162</v>
      </c>
      <c r="C56" s="3"/>
      <c r="D56" s="11"/>
      <c r="E56" s="11"/>
      <c r="F56" s="11"/>
      <c r="G56" s="11"/>
      <c r="H56" s="11"/>
      <c r="I56" s="11"/>
      <c r="J56" s="11"/>
      <c r="K56" s="11"/>
      <c r="L56" s="11"/>
      <c r="M56" s="11"/>
    </row>
    <row r="57" spans="1:13">
      <c r="A57" s="12" t="s">
        <v>7</v>
      </c>
      <c r="B57" s="13" t="s">
        <v>165</v>
      </c>
      <c r="C57" s="4"/>
      <c r="D57" s="13"/>
      <c r="E57" s="13"/>
      <c r="F57" s="13"/>
      <c r="G57" s="13"/>
      <c r="H57" s="13"/>
      <c r="I57" s="13"/>
      <c r="J57" s="13"/>
      <c r="K57" s="13"/>
      <c r="L57" s="13"/>
      <c r="M57" s="13"/>
    </row>
    <row r="58" spans="1:13">
      <c r="A58" s="12" t="s">
        <v>9</v>
      </c>
      <c r="B58" s="13" t="s">
        <v>173</v>
      </c>
      <c r="C58" s="4"/>
      <c r="D58" s="13"/>
      <c r="E58" s="13"/>
      <c r="F58" s="13"/>
      <c r="G58" s="13"/>
      <c r="H58" s="13"/>
      <c r="I58" s="13"/>
      <c r="J58" s="13"/>
      <c r="K58" s="13"/>
      <c r="L58" s="13"/>
      <c r="M58" s="13"/>
    </row>
    <row r="59" spans="1:13" ht="43.5">
      <c r="A59" s="12" t="s">
        <v>11</v>
      </c>
      <c r="B59" s="14" t="s">
        <v>174</v>
      </c>
      <c r="C59" s="13"/>
      <c r="D59" s="13"/>
      <c r="E59" s="13"/>
      <c r="F59" s="13"/>
      <c r="G59" s="13"/>
      <c r="H59" s="13"/>
      <c r="I59" s="13"/>
      <c r="J59" s="13"/>
      <c r="K59" s="13"/>
      <c r="L59" s="13"/>
      <c r="M59" s="13"/>
    </row>
    <row r="60" spans="1:13">
      <c r="A60" s="12" t="s">
        <v>13</v>
      </c>
      <c r="B60" s="13" t="s">
        <v>14</v>
      </c>
      <c r="C60" s="13"/>
      <c r="D60" s="13"/>
      <c r="E60" s="13"/>
      <c r="F60" s="13"/>
      <c r="G60" s="13"/>
      <c r="H60" s="13"/>
      <c r="I60" s="13"/>
      <c r="J60" s="13"/>
      <c r="K60" s="13"/>
      <c r="L60" s="13"/>
      <c r="M60" s="13"/>
    </row>
    <row r="61" spans="1:13">
      <c r="A61" s="12" t="s">
        <v>15</v>
      </c>
      <c r="B61" s="13">
        <v>1</v>
      </c>
      <c r="C61" s="13"/>
      <c r="D61" s="13"/>
      <c r="E61" s="13"/>
      <c r="F61" s="13"/>
      <c r="G61" s="13"/>
      <c r="H61" s="13"/>
      <c r="I61" s="13"/>
      <c r="J61" s="13"/>
      <c r="K61" s="13"/>
      <c r="L61" s="13"/>
      <c r="M61" s="13"/>
    </row>
    <row r="62" spans="1:13">
      <c r="A62" s="12" t="s">
        <v>16</v>
      </c>
      <c r="B62" s="13" t="s">
        <v>17</v>
      </c>
      <c r="C62" s="13"/>
      <c r="D62" s="13"/>
      <c r="E62" s="13"/>
      <c r="F62" s="13"/>
      <c r="G62" s="13"/>
      <c r="H62" s="13"/>
      <c r="I62" s="13"/>
      <c r="J62" s="13"/>
      <c r="K62" s="13"/>
      <c r="L62" s="13"/>
      <c r="M62" s="13"/>
    </row>
    <row r="63" spans="1:13">
      <c r="A63" s="12" t="s">
        <v>18</v>
      </c>
      <c r="B63" s="13" t="s">
        <v>18</v>
      </c>
      <c r="C63" s="13"/>
      <c r="D63" s="13"/>
      <c r="E63" s="13"/>
      <c r="F63" s="13"/>
      <c r="G63" s="13"/>
      <c r="H63" s="13"/>
      <c r="I63" s="13"/>
      <c r="J63" s="13"/>
      <c r="K63" s="13"/>
      <c r="L63" s="13"/>
      <c r="M63" s="13"/>
    </row>
    <row r="64" spans="1:13">
      <c r="A64" s="20" t="s">
        <v>19</v>
      </c>
      <c r="B64" s="13"/>
      <c r="C64" s="13"/>
      <c r="D64" s="13"/>
      <c r="E64" s="13"/>
      <c r="F64" s="13"/>
      <c r="G64" s="13"/>
      <c r="H64" s="13"/>
      <c r="I64" s="13"/>
      <c r="J64" s="13"/>
      <c r="K64" s="13"/>
      <c r="L64" s="13"/>
      <c r="M64" s="13"/>
    </row>
    <row r="65" spans="1:14">
      <c r="A65" s="20" t="s">
        <v>20</v>
      </c>
      <c r="B65" s="21" t="s">
        <v>21</v>
      </c>
      <c r="C65" s="21" t="s">
        <v>18</v>
      </c>
      <c r="D65" s="21" t="s">
        <v>22</v>
      </c>
      <c r="E65" s="21" t="s">
        <v>7</v>
      </c>
      <c r="F65" s="21" t="s">
        <v>13</v>
      </c>
      <c r="G65" s="21" t="s">
        <v>16</v>
      </c>
      <c r="H65" s="21" t="s">
        <v>23</v>
      </c>
      <c r="I65" s="21" t="s">
        <v>24</v>
      </c>
      <c r="J65" s="21" t="s">
        <v>25</v>
      </c>
      <c r="K65" s="21" t="s">
        <v>26</v>
      </c>
      <c r="L65" s="21" t="s">
        <v>27</v>
      </c>
      <c r="M65" s="21" t="s">
        <v>28</v>
      </c>
    </row>
    <row r="66" spans="1:14">
      <c r="A66" s="12" t="s">
        <v>162</v>
      </c>
      <c r="B66" s="13">
        <v>1</v>
      </c>
      <c r="C66" s="13" t="s">
        <v>18</v>
      </c>
      <c r="D66" s="13" t="s">
        <v>2</v>
      </c>
      <c r="E66" s="13" t="s">
        <v>29</v>
      </c>
      <c r="F66" s="13" t="s">
        <v>14</v>
      </c>
      <c r="G66" s="13" t="s">
        <v>30</v>
      </c>
      <c r="H66" s="13">
        <v>1</v>
      </c>
      <c r="I66" s="13">
        <v>1</v>
      </c>
      <c r="J66" s="13" t="s">
        <v>31</v>
      </c>
      <c r="K66" s="13" t="s">
        <v>31</v>
      </c>
      <c r="L66" s="13" t="s">
        <v>31</v>
      </c>
      <c r="M66" s="13" t="s">
        <v>31</v>
      </c>
    </row>
    <row r="67" spans="1:14">
      <c r="A67" s="12" t="s">
        <v>175</v>
      </c>
      <c r="B67" s="13">
        <v>11.8</v>
      </c>
      <c r="C67" s="13" t="s">
        <v>37</v>
      </c>
      <c r="D67" s="13" t="s">
        <v>40</v>
      </c>
      <c r="E67" s="13" t="s">
        <v>29</v>
      </c>
      <c r="F67" s="13" t="s">
        <v>59</v>
      </c>
      <c r="G67" s="13" t="s">
        <v>33</v>
      </c>
      <c r="H67" s="13">
        <v>2</v>
      </c>
      <c r="I67" s="13">
        <f>LN(B67)</f>
        <v>2.4680995314716192</v>
      </c>
      <c r="J67" s="13">
        <v>0.29325756597230351</v>
      </c>
      <c r="K67" s="13" t="s">
        <v>31</v>
      </c>
      <c r="L67" s="13" t="s">
        <v>31</v>
      </c>
      <c r="M67" s="13" t="s">
        <v>31</v>
      </c>
      <c r="N67" t="s">
        <v>176</v>
      </c>
    </row>
    <row r="68" spans="1:14">
      <c r="A68" s="12" t="s">
        <v>134</v>
      </c>
      <c r="B68" s="13">
        <v>6.26</v>
      </c>
      <c r="C68" s="13" t="s">
        <v>37</v>
      </c>
      <c r="D68" s="13" t="s">
        <v>40</v>
      </c>
      <c r="E68" s="13" t="s">
        <v>29</v>
      </c>
      <c r="F68" s="13" t="s">
        <v>59</v>
      </c>
      <c r="G68" s="13" t="s">
        <v>33</v>
      </c>
      <c r="H68" s="13">
        <v>2</v>
      </c>
      <c r="I68" s="13">
        <f>LN(B68)</f>
        <v>1.8341801851120072</v>
      </c>
      <c r="J68" s="13">
        <v>0.29325756597230351</v>
      </c>
      <c r="K68" s="13" t="s">
        <v>31</v>
      </c>
      <c r="L68" s="13" t="s">
        <v>31</v>
      </c>
      <c r="M68" s="13" t="s">
        <v>31</v>
      </c>
    </row>
    <row r="69" spans="1:14">
      <c r="A69" s="18" t="s">
        <v>5</v>
      </c>
      <c r="B69" s="19" t="s">
        <v>163</v>
      </c>
      <c r="C69" s="3"/>
      <c r="D69" s="11"/>
      <c r="E69" s="11"/>
      <c r="F69" s="11"/>
      <c r="G69" s="11"/>
      <c r="H69" s="11"/>
      <c r="I69" s="11"/>
      <c r="J69" s="11"/>
      <c r="K69" s="11"/>
      <c r="L69" s="11"/>
      <c r="M69" s="11"/>
    </row>
    <row r="70" spans="1:14">
      <c r="A70" s="12" t="s">
        <v>7</v>
      </c>
      <c r="B70" s="13" t="s">
        <v>165</v>
      </c>
      <c r="C70" s="4"/>
      <c r="D70" s="13"/>
      <c r="E70" s="13"/>
      <c r="F70" s="13"/>
      <c r="G70" s="13"/>
      <c r="H70" s="13"/>
      <c r="I70" s="13"/>
      <c r="J70" s="13"/>
      <c r="K70" s="13"/>
      <c r="L70" s="13"/>
      <c r="M70" s="13"/>
    </row>
    <row r="71" spans="1:14">
      <c r="A71" s="12" t="s">
        <v>9</v>
      </c>
      <c r="B71" s="13" t="s">
        <v>177</v>
      </c>
      <c r="C71" s="4"/>
      <c r="D71" s="13"/>
      <c r="E71" s="13"/>
      <c r="F71" s="13"/>
      <c r="G71" s="13"/>
      <c r="H71" s="13"/>
      <c r="I71" s="13"/>
      <c r="J71" s="13"/>
      <c r="K71" s="13"/>
      <c r="L71" s="13"/>
      <c r="M71" s="13"/>
    </row>
    <row r="72" spans="1:14" ht="29.1">
      <c r="A72" s="12" t="s">
        <v>11</v>
      </c>
      <c r="B72" s="14" t="s">
        <v>178</v>
      </c>
      <c r="C72" s="13"/>
      <c r="D72" s="13"/>
      <c r="E72" s="13"/>
      <c r="F72" s="13"/>
      <c r="G72" s="13"/>
      <c r="H72" s="13"/>
      <c r="I72" s="13"/>
      <c r="J72" s="13"/>
      <c r="K72" s="13"/>
      <c r="L72" s="13"/>
      <c r="M72" s="13"/>
    </row>
    <row r="73" spans="1:14">
      <c r="A73" s="12" t="s">
        <v>13</v>
      </c>
      <c r="B73" s="13" t="s">
        <v>14</v>
      </c>
      <c r="C73" s="13"/>
      <c r="D73" s="13"/>
      <c r="E73" s="13"/>
      <c r="F73" s="13"/>
      <c r="G73" s="13"/>
      <c r="H73" s="13"/>
      <c r="I73" s="13"/>
      <c r="J73" s="13"/>
      <c r="K73" s="13"/>
      <c r="L73" s="13"/>
      <c r="M73" s="13"/>
    </row>
    <row r="74" spans="1:14">
      <c r="A74" s="12" t="s">
        <v>15</v>
      </c>
      <c r="B74" s="13">
        <v>1</v>
      </c>
      <c r="C74" s="13"/>
      <c r="D74" s="13"/>
      <c r="E74" s="13"/>
      <c r="F74" s="13"/>
      <c r="G74" s="13"/>
      <c r="H74" s="13"/>
      <c r="I74" s="13"/>
      <c r="J74" s="13"/>
      <c r="K74" s="13"/>
      <c r="L74" s="13"/>
      <c r="M74" s="13"/>
    </row>
    <row r="75" spans="1:14">
      <c r="A75" s="12" t="s">
        <v>16</v>
      </c>
      <c r="B75" s="13" t="s">
        <v>17</v>
      </c>
      <c r="C75" s="13"/>
      <c r="D75" s="13"/>
      <c r="E75" s="13"/>
      <c r="F75" s="13"/>
      <c r="G75" s="13"/>
      <c r="H75" s="13"/>
      <c r="I75" s="13"/>
      <c r="J75" s="13"/>
      <c r="K75" s="13"/>
      <c r="L75" s="13"/>
      <c r="M75" s="13"/>
    </row>
    <row r="76" spans="1:14">
      <c r="A76" s="12" t="s">
        <v>18</v>
      </c>
      <c r="B76" s="13" t="s">
        <v>18</v>
      </c>
      <c r="C76" s="13"/>
      <c r="D76" s="13"/>
      <c r="E76" s="13"/>
      <c r="F76" s="13"/>
      <c r="G76" s="13"/>
      <c r="H76" s="13"/>
      <c r="I76" s="13"/>
      <c r="J76" s="13"/>
      <c r="K76" s="13"/>
      <c r="L76" s="13"/>
      <c r="M76" s="13"/>
    </row>
    <row r="77" spans="1:14">
      <c r="A77" s="20" t="s">
        <v>19</v>
      </c>
      <c r="B77" s="13"/>
      <c r="C77" s="13"/>
      <c r="D77" s="13"/>
      <c r="E77" s="13"/>
      <c r="F77" s="13"/>
      <c r="G77" s="13"/>
      <c r="H77" s="13"/>
      <c r="I77" s="13"/>
      <c r="J77" s="13"/>
      <c r="K77" s="13"/>
      <c r="L77" s="13"/>
      <c r="M77" s="13"/>
    </row>
    <row r="78" spans="1:14">
      <c r="A78" s="20" t="s">
        <v>20</v>
      </c>
      <c r="B78" s="21" t="s">
        <v>21</v>
      </c>
      <c r="C78" s="21" t="s">
        <v>18</v>
      </c>
      <c r="D78" s="21" t="s">
        <v>22</v>
      </c>
      <c r="E78" s="21" t="s">
        <v>7</v>
      </c>
      <c r="F78" s="21" t="s">
        <v>13</v>
      </c>
      <c r="G78" s="21" t="s">
        <v>16</v>
      </c>
      <c r="H78" s="21" t="s">
        <v>23</v>
      </c>
      <c r="I78" s="21" t="s">
        <v>24</v>
      </c>
      <c r="J78" s="21" t="s">
        <v>25</v>
      </c>
      <c r="K78" s="21" t="s">
        <v>26</v>
      </c>
      <c r="L78" s="21" t="s">
        <v>27</v>
      </c>
      <c r="M78" s="21" t="s">
        <v>28</v>
      </c>
    </row>
    <row r="79" spans="1:14">
      <c r="A79" s="12" t="s">
        <v>163</v>
      </c>
      <c r="B79" s="13">
        <v>1</v>
      </c>
      <c r="C79" s="13" t="s">
        <v>18</v>
      </c>
      <c r="D79" s="13" t="s">
        <v>2</v>
      </c>
      <c r="E79" s="13" t="s">
        <v>29</v>
      </c>
      <c r="F79" s="13" t="s">
        <v>14</v>
      </c>
      <c r="G79" s="13" t="s">
        <v>30</v>
      </c>
      <c r="H79" s="13">
        <v>1</v>
      </c>
      <c r="I79" s="13">
        <v>1</v>
      </c>
      <c r="J79" s="13" t="s">
        <v>31</v>
      </c>
      <c r="K79" s="13" t="s">
        <v>31</v>
      </c>
      <c r="L79" s="13" t="s">
        <v>31</v>
      </c>
      <c r="M79" s="13" t="s">
        <v>31</v>
      </c>
    </row>
    <row r="80" spans="1:14">
      <c r="A80" s="12" t="s">
        <v>179</v>
      </c>
      <c r="B80" s="13">
        <v>10.5</v>
      </c>
      <c r="C80" s="13" t="s">
        <v>37</v>
      </c>
      <c r="D80" s="13" t="s">
        <v>40</v>
      </c>
      <c r="E80" s="13" t="s">
        <v>29</v>
      </c>
      <c r="F80" s="13" t="s">
        <v>35</v>
      </c>
      <c r="G80" s="13" t="s">
        <v>33</v>
      </c>
      <c r="H80" s="13">
        <v>2</v>
      </c>
      <c r="I80" s="13">
        <f>LN(B80)</f>
        <v>2.3513752571634776</v>
      </c>
      <c r="J80" s="13">
        <v>0.29325756597230351</v>
      </c>
      <c r="K80" s="13" t="s">
        <v>31</v>
      </c>
      <c r="L80" s="13" t="s">
        <v>31</v>
      </c>
      <c r="M80" s="13" t="s">
        <v>31</v>
      </c>
    </row>
    <row r="81" spans="1:13">
      <c r="A81" s="12" t="s">
        <v>180</v>
      </c>
      <c r="B81" s="13">
        <v>10.5</v>
      </c>
      <c r="C81" s="13" t="s">
        <v>37</v>
      </c>
      <c r="D81" s="13" t="s">
        <v>40</v>
      </c>
      <c r="E81" s="13" t="s">
        <v>29</v>
      </c>
      <c r="F81" s="13" t="s">
        <v>59</v>
      </c>
      <c r="G81" s="13" t="s">
        <v>33</v>
      </c>
      <c r="H81" s="13">
        <v>2</v>
      </c>
      <c r="I81" s="13">
        <f>LN(B81)</f>
        <v>2.3513752571634776</v>
      </c>
      <c r="J81" s="13">
        <v>0.29325756597230351</v>
      </c>
      <c r="K81" s="13" t="s">
        <v>31</v>
      </c>
      <c r="L81" s="13" t="s">
        <v>31</v>
      </c>
      <c r="M81" s="13" t="s">
        <v>31</v>
      </c>
    </row>
    <row r="82" spans="1:13">
      <c r="A82" s="18" t="s">
        <v>5</v>
      </c>
      <c r="B82" s="19" t="s">
        <v>164</v>
      </c>
      <c r="C82" s="3"/>
      <c r="D82" s="11"/>
      <c r="E82" s="11"/>
      <c r="F82" s="11"/>
      <c r="G82" s="11"/>
      <c r="H82" s="11"/>
      <c r="I82" s="11"/>
      <c r="J82" s="11"/>
      <c r="K82" s="11"/>
      <c r="L82" s="11"/>
      <c r="M82" s="11"/>
    </row>
    <row r="83" spans="1:13">
      <c r="A83" s="12" t="s">
        <v>7</v>
      </c>
      <c r="B83" s="13" t="s">
        <v>165</v>
      </c>
      <c r="C83" s="4"/>
      <c r="D83" s="13"/>
      <c r="E83" s="13"/>
      <c r="F83" s="13"/>
      <c r="G83" s="13"/>
      <c r="H83" s="13"/>
      <c r="I83" s="13"/>
      <c r="J83" s="13"/>
      <c r="K83" s="13"/>
      <c r="L83" s="13"/>
      <c r="M83" s="13"/>
    </row>
    <row r="84" spans="1:13">
      <c r="A84" s="12" t="s">
        <v>9</v>
      </c>
      <c r="B84" s="13" t="s">
        <v>181</v>
      </c>
      <c r="C84" s="4"/>
      <c r="D84" s="13"/>
      <c r="E84" s="13"/>
      <c r="F84" s="13"/>
      <c r="G84" s="13"/>
      <c r="H84" s="13"/>
      <c r="I84" s="13"/>
      <c r="J84" s="13"/>
      <c r="K84" s="13"/>
      <c r="L84" s="13"/>
      <c r="M84" s="13"/>
    </row>
    <row r="85" spans="1:13" ht="29.1">
      <c r="A85" s="12" t="s">
        <v>11</v>
      </c>
      <c r="B85" s="14" t="s">
        <v>182</v>
      </c>
      <c r="C85" s="13"/>
      <c r="D85" s="13"/>
      <c r="E85" s="13"/>
      <c r="F85" s="13"/>
      <c r="G85" s="13"/>
      <c r="H85" s="13"/>
      <c r="I85" s="13"/>
      <c r="J85" s="13"/>
      <c r="K85" s="13"/>
      <c r="L85" s="13"/>
      <c r="M85" s="13"/>
    </row>
    <row r="86" spans="1:13">
      <c r="A86" s="12" t="s">
        <v>13</v>
      </c>
      <c r="B86" s="13" t="s">
        <v>14</v>
      </c>
      <c r="C86" s="13"/>
      <c r="D86" s="13"/>
      <c r="E86" s="13"/>
      <c r="F86" s="13"/>
      <c r="G86" s="13"/>
      <c r="H86" s="13"/>
      <c r="I86" s="13"/>
      <c r="J86" s="13"/>
      <c r="K86" s="13"/>
      <c r="L86" s="13"/>
      <c r="M86" s="13"/>
    </row>
    <row r="87" spans="1:13">
      <c r="A87" s="12" t="s">
        <v>15</v>
      </c>
      <c r="B87" s="13">
        <v>1</v>
      </c>
      <c r="C87" s="13"/>
      <c r="D87" s="13"/>
      <c r="E87" s="13"/>
      <c r="F87" s="13"/>
      <c r="G87" s="13"/>
      <c r="H87" s="13"/>
      <c r="I87" s="13"/>
      <c r="J87" s="13"/>
      <c r="K87" s="13"/>
      <c r="L87" s="13"/>
      <c r="M87" s="13"/>
    </row>
    <row r="88" spans="1:13">
      <c r="A88" s="12" t="s">
        <v>16</v>
      </c>
      <c r="B88" s="13" t="s">
        <v>17</v>
      </c>
      <c r="C88" s="13"/>
      <c r="D88" s="13"/>
      <c r="E88" s="13"/>
      <c r="F88" s="13"/>
      <c r="G88" s="13"/>
      <c r="H88" s="13"/>
      <c r="I88" s="13"/>
      <c r="J88" s="13"/>
      <c r="K88" s="13"/>
      <c r="L88" s="13"/>
      <c r="M88" s="13"/>
    </row>
    <row r="89" spans="1:13">
      <c r="A89" s="12" t="s">
        <v>18</v>
      </c>
      <c r="B89" s="13" t="s">
        <v>18</v>
      </c>
      <c r="C89" s="13"/>
      <c r="D89" s="13"/>
      <c r="E89" s="13"/>
      <c r="F89" s="13"/>
      <c r="G89" s="13"/>
      <c r="H89" s="13"/>
      <c r="I89" s="13"/>
      <c r="J89" s="13"/>
      <c r="K89" s="13"/>
      <c r="L89" s="13"/>
      <c r="M89" s="13"/>
    </row>
    <row r="90" spans="1:13">
      <c r="A90" s="20" t="s">
        <v>19</v>
      </c>
      <c r="B90" s="13"/>
      <c r="C90" s="13"/>
      <c r="D90" s="13"/>
      <c r="E90" s="13"/>
      <c r="F90" s="13"/>
      <c r="G90" s="13"/>
      <c r="H90" s="13"/>
      <c r="I90" s="13"/>
      <c r="J90" s="13"/>
      <c r="K90" s="13"/>
      <c r="L90" s="13"/>
      <c r="M90" s="13"/>
    </row>
    <row r="91" spans="1:13">
      <c r="A91" s="20" t="s">
        <v>20</v>
      </c>
      <c r="B91" s="21" t="s">
        <v>21</v>
      </c>
      <c r="C91" s="21" t="s">
        <v>18</v>
      </c>
      <c r="D91" s="21" t="s">
        <v>22</v>
      </c>
      <c r="E91" s="21" t="s">
        <v>7</v>
      </c>
      <c r="F91" s="21" t="s">
        <v>13</v>
      </c>
      <c r="G91" s="21" t="s">
        <v>16</v>
      </c>
      <c r="H91" s="21" t="s">
        <v>23</v>
      </c>
      <c r="I91" s="21" t="s">
        <v>24</v>
      </c>
      <c r="J91" s="21" t="s">
        <v>25</v>
      </c>
      <c r="K91" s="21" t="s">
        <v>26</v>
      </c>
      <c r="L91" s="21" t="s">
        <v>27</v>
      </c>
      <c r="M91" s="21" t="s">
        <v>28</v>
      </c>
    </row>
    <row r="92" spans="1:13">
      <c r="A92" s="12" t="s">
        <v>164</v>
      </c>
      <c r="B92" s="13">
        <v>1</v>
      </c>
      <c r="C92" s="13" t="s">
        <v>18</v>
      </c>
      <c r="D92" s="13" t="s">
        <v>2</v>
      </c>
      <c r="E92" s="13" t="s">
        <v>29</v>
      </c>
      <c r="F92" s="13" t="s">
        <v>14</v>
      </c>
      <c r="G92" s="13" t="s">
        <v>30</v>
      </c>
      <c r="H92" s="13">
        <v>1</v>
      </c>
      <c r="I92" s="13">
        <v>1</v>
      </c>
      <c r="J92" s="13" t="s">
        <v>31</v>
      </c>
      <c r="K92" s="13" t="s">
        <v>31</v>
      </c>
      <c r="L92" s="13" t="s">
        <v>31</v>
      </c>
      <c r="M92" s="13" t="s">
        <v>31</v>
      </c>
    </row>
    <row r="93" spans="1:13">
      <c r="A93" s="12" t="s">
        <v>155</v>
      </c>
      <c r="B93" s="13">
        <v>61.6</v>
      </c>
      <c r="C93" s="13" t="s">
        <v>37</v>
      </c>
      <c r="D93" s="13" t="s">
        <v>40</v>
      </c>
      <c r="E93" s="13" t="s">
        <v>29</v>
      </c>
      <c r="F93" s="13" t="s">
        <v>82</v>
      </c>
      <c r="G93" s="13" t="s">
        <v>33</v>
      </c>
      <c r="H93" s="13">
        <v>2</v>
      </c>
      <c r="I93" s="13">
        <f>LN(B93)</f>
        <v>4.1206618705394744</v>
      </c>
      <c r="J93" s="13">
        <v>0.29325756597230351</v>
      </c>
      <c r="K93" s="13" t="s">
        <v>31</v>
      </c>
      <c r="L93" s="13" t="s">
        <v>31</v>
      </c>
      <c r="M93" s="13" t="s">
        <v>31</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CF35D-2DAB-463E-877E-DA2093225E29}">
  <sheetPr>
    <tabColor theme="6" tint="0.79998168889431442"/>
  </sheetPr>
  <dimension ref="A1:T75"/>
  <sheetViews>
    <sheetView topLeftCell="A30" zoomScale="85" zoomScaleNormal="85" workbookViewId="0">
      <selection activeCell="B5" sqref="B5"/>
    </sheetView>
  </sheetViews>
  <sheetFormatPr defaultRowHeight="14.45"/>
  <cols>
    <col min="1" max="1" width="70" customWidth="1"/>
    <col min="4" max="4" width="13.5703125" customWidth="1"/>
    <col min="5" max="5" width="34.5703125" customWidth="1"/>
    <col min="6" max="6" width="12.7109375" customWidth="1"/>
    <col min="8" max="8" width="14.7109375" customWidth="1"/>
  </cols>
  <sheetData>
    <row r="1" spans="1:20">
      <c r="A1" t="s">
        <v>0</v>
      </c>
      <c r="B1">
        <v>14</v>
      </c>
    </row>
    <row r="2" spans="1:20" ht="15.6">
      <c r="A2" s="67" t="s">
        <v>5</v>
      </c>
      <c r="B2" s="68" t="s">
        <v>1666</v>
      </c>
      <c r="C2" s="68"/>
      <c r="D2" s="69"/>
      <c r="E2" s="70"/>
      <c r="F2" s="70"/>
      <c r="G2" s="70"/>
      <c r="H2" s="70"/>
      <c r="I2" s="70"/>
      <c r="J2" s="70"/>
      <c r="K2" s="70"/>
      <c r="L2" s="70"/>
      <c r="M2" s="70"/>
      <c r="N2" s="70"/>
    </row>
    <row r="3" spans="1:20">
      <c r="A3" s="71" t="s">
        <v>7</v>
      </c>
      <c r="B3" t="s">
        <v>1654</v>
      </c>
      <c r="D3" s="72"/>
      <c r="Q3" t="s">
        <v>1663</v>
      </c>
    </row>
    <row r="4" spans="1:20">
      <c r="A4" s="71" t="s">
        <v>9</v>
      </c>
      <c r="B4" s="22" t="s">
        <v>1667</v>
      </c>
      <c r="C4" s="22"/>
      <c r="D4" s="72"/>
    </row>
    <row r="5" spans="1:20" ht="16.5" customHeight="1">
      <c r="A5" s="71" t="s">
        <v>11</v>
      </c>
      <c r="B5" s="73" t="s">
        <v>796</v>
      </c>
      <c r="C5" s="73"/>
    </row>
    <row r="6" spans="1:20">
      <c r="A6" s="71" t="s">
        <v>13</v>
      </c>
      <c r="B6" t="s">
        <v>14</v>
      </c>
    </row>
    <row r="7" spans="1:20">
      <c r="A7" s="71" t="s">
        <v>15</v>
      </c>
      <c r="B7">
        <v>9.8095000000000002E-2</v>
      </c>
    </row>
    <row r="8" spans="1:20">
      <c r="A8" s="71" t="s">
        <v>16</v>
      </c>
      <c r="B8" t="s">
        <v>17</v>
      </c>
    </row>
    <row r="9" spans="1:20">
      <c r="A9" s="71" t="s">
        <v>18</v>
      </c>
      <c r="B9" t="s">
        <v>37</v>
      </c>
    </row>
    <row r="10" spans="1:20" ht="15.6">
      <c r="A10" s="75" t="s">
        <v>19</v>
      </c>
    </row>
    <row r="11" spans="1:20" ht="15.6">
      <c r="A11" s="75" t="s">
        <v>20</v>
      </c>
      <c r="B11" s="16" t="s">
        <v>21</v>
      </c>
      <c r="C11" s="77" t="s">
        <v>217</v>
      </c>
      <c r="D11" s="16" t="s">
        <v>18</v>
      </c>
      <c r="E11" s="16" t="s">
        <v>22</v>
      </c>
      <c r="F11" s="16" t="s">
        <v>7</v>
      </c>
      <c r="G11" s="16" t="s">
        <v>13</v>
      </c>
      <c r="H11" s="16" t="s">
        <v>16</v>
      </c>
      <c r="I11" s="16" t="s">
        <v>23</v>
      </c>
      <c r="J11" s="16" t="s">
        <v>24</v>
      </c>
      <c r="K11" s="16" t="s">
        <v>25</v>
      </c>
      <c r="L11" s="16" t="s">
        <v>26</v>
      </c>
      <c r="M11" s="16" t="s">
        <v>27</v>
      </c>
      <c r="N11" s="16" t="s">
        <v>28</v>
      </c>
      <c r="O11" s="16" t="s">
        <v>11</v>
      </c>
    </row>
    <row r="12" spans="1:20" ht="15.6">
      <c r="A12" s="76" t="s">
        <v>1666</v>
      </c>
      <c r="B12">
        <v>9.8095000000000002E-2</v>
      </c>
      <c r="D12" t="s">
        <v>37</v>
      </c>
      <c r="E12" s="17" t="s">
        <v>2</v>
      </c>
      <c r="F12" t="s">
        <v>29</v>
      </c>
      <c r="G12" s="74" t="s">
        <v>14</v>
      </c>
      <c r="H12" t="s">
        <v>30</v>
      </c>
      <c r="I12">
        <v>1</v>
      </c>
      <c r="J12">
        <f>B12</f>
        <v>9.8095000000000002E-2</v>
      </c>
      <c r="K12" t="s">
        <v>31</v>
      </c>
      <c r="L12" t="s">
        <v>31</v>
      </c>
      <c r="M12" t="s">
        <v>31</v>
      </c>
      <c r="N12" t="s">
        <v>31</v>
      </c>
      <c r="Q12" s="84" t="s">
        <v>821</v>
      </c>
    </row>
    <row r="13" spans="1:20" ht="15.6">
      <c r="A13" s="76" t="s">
        <v>1668</v>
      </c>
      <c r="B13">
        <f>S13</f>
        <v>6.9999999999999999E-4</v>
      </c>
      <c r="D13" t="s">
        <v>609</v>
      </c>
      <c r="E13" s="17" t="s">
        <v>2</v>
      </c>
      <c r="F13" t="s">
        <v>29</v>
      </c>
      <c r="G13" s="74" t="s">
        <v>14</v>
      </c>
      <c r="H13" t="s">
        <v>33</v>
      </c>
      <c r="I13">
        <v>2</v>
      </c>
      <c r="J13">
        <f>LN(B13)</f>
        <v>-7.2644302229208693</v>
      </c>
      <c r="K13">
        <v>2.8722813232690055E-2</v>
      </c>
      <c r="L13" t="s">
        <v>31</v>
      </c>
      <c r="M13" t="s">
        <v>31</v>
      </c>
      <c r="N13" t="s">
        <v>31</v>
      </c>
      <c r="Q13" s="85" t="s">
        <v>823</v>
      </c>
      <c r="R13" s="86">
        <v>6.9999999999999999E-4</v>
      </c>
      <c r="S13" s="87">
        <f>R13</f>
        <v>6.9999999999999999E-4</v>
      </c>
      <c r="T13" t="s">
        <v>610</v>
      </c>
    </row>
    <row r="14" spans="1:20" ht="15.6">
      <c r="A14" s="88" t="s">
        <v>824</v>
      </c>
      <c r="B14">
        <f t="shared" ref="B14:B19" si="0">S14</f>
        <v>4.9000000000000002E-2</v>
      </c>
      <c r="D14" t="s">
        <v>37</v>
      </c>
      <c r="E14" s="17" t="s">
        <v>40</v>
      </c>
      <c r="F14" t="s">
        <v>29</v>
      </c>
      <c r="G14" s="74" t="s">
        <v>59</v>
      </c>
      <c r="H14" t="s">
        <v>33</v>
      </c>
      <c r="I14">
        <v>2</v>
      </c>
      <c r="J14">
        <f>LN(B14)</f>
        <v>-3.0159349808715104</v>
      </c>
      <c r="K14">
        <v>5.8523499553598146E-2</v>
      </c>
      <c r="L14" t="s">
        <v>31</v>
      </c>
      <c r="M14" t="s">
        <v>31</v>
      </c>
      <c r="N14" t="s">
        <v>31</v>
      </c>
      <c r="Q14" s="78" t="s">
        <v>580</v>
      </c>
      <c r="R14" s="83">
        <v>49</v>
      </c>
      <c r="S14">
        <f>R14*0.001</f>
        <v>4.9000000000000002E-2</v>
      </c>
      <c r="T14" t="s">
        <v>241</v>
      </c>
    </row>
    <row r="15" spans="1:20" ht="15.6">
      <c r="A15" s="88" t="s">
        <v>800</v>
      </c>
      <c r="B15">
        <f t="shared" si="0"/>
        <v>3.1E-4</v>
      </c>
      <c r="D15" t="s">
        <v>37</v>
      </c>
      <c r="E15" s="17" t="s">
        <v>40</v>
      </c>
      <c r="F15" t="s">
        <v>29</v>
      </c>
      <c r="G15" s="74" t="s">
        <v>59</v>
      </c>
      <c r="H15" t="s">
        <v>33</v>
      </c>
      <c r="I15">
        <v>2</v>
      </c>
      <c r="J15">
        <f t="shared" ref="J15:J19" si="1">LN(B15)</f>
        <v>-8.0789382604850815</v>
      </c>
      <c r="K15">
        <v>5.8523499553598146E-2</v>
      </c>
      <c r="L15" t="s">
        <v>31</v>
      </c>
      <c r="M15" t="s">
        <v>31</v>
      </c>
      <c r="N15" t="s">
        <v>31</v>
      </c>
      <c r="Q15" s="78" t="s">
        <v>580</v>
      </c>
      <c r="R15" s="89">
        <v>0.31</v>
      </c>
      <c r="S15">
        <f>R15*0.001</f>
        <v>3.1E-4</v>
      </c>
      <c r="T15" t="s">
        <v>241</v>
      </c>
    </row>
    <row r="16" spans="1:20" ht="15.6">
      <c r="A16" s="76" t="s">
        <v>38</v>
      </c>
      <c r="B16">
        <f t="shared" si="0"/>
        <v>0.05</v>
      </c>
      <c r="D16" t="s">
        <v>39</v>
      </c>
      <c r="E16" s="17" t="s">
        <v>40</v>
      </c>
      <c r="F16" t="s">
        <v>29</v>
      </c>
      <c r="G16" s="74" t="s">
        <v>35</v>
      </c>
      <c r="H16" t="s">
        <v>33</v>
      </c>
      <c r="I16">
        <v>2</v>
      </c>
      <c r="J16">
        <f t="shared" si="1"/>
        <v>-2.9957322735539909</v>
      </c>
      <c r="K16">
        <v>3.7749172176353707E-2</v>
      </c>
      <c r="L16" t="s">
        <v>31</v>
      </c>
      <c r="M16" t="s">
        <v>31</v>
      </c>
      <c r="N16" t="s">
        <v>31</v>
      </c>
      <c r="Q16" s="78" t="s">
        <v>248</v>
      </c>
      <c r="R16" s="89">
        <v>0.05</v>
      </c>
      <c r="S16" s="23">
        <f>R16</f>
        <v>0.05</v>
      </c>
      <c r="T16" t="s">
        <v>248</v>
      </c>
    </row>
    <row r="17" spans="1:20" ht="15.6">
      <c r="A17" s="88" t="s">
        <v>825</v>
      </c>
      <c r="B17">
        <f t="shared" si="0"/>
        <v>6.9999999999999999E-6</v>
      </c>
      <c r="D17" t="s">
        <v>37</v>
      </c>
      <c r="E17" s="17" t="s">
        <v>40</v>
      </c>
      <c r="F17" t="s">
        <v>29</v>
      </c>
      <c r="G17" s="74" t="s">
        <v>59</v>
      </c>
      <c r="H17" t="s">
        <v>33</v>
      </c>
      <c r="I17">
        <v>2</v>
      </c>
      <c r="J17">
        <f t="shared" si="1"/>
        <v>-11.86960040890896</v>
      </c>
      <c r="K17">
        <v>3.7749172176353707E-2</v>
      </c>
      <c r="L17" t="s">
        <v>31</v>
      </c>
      <c r="M17" t="s">
        <v>31</v>
      </c>
      <c r="N17" t="s">
        <v>31</v>
      </c>
      <c r="Q17" s="78" t="s">
        <v>580</v>
      </c>
      <c r="R17" s="90">
        <v>7.0000000000000001E-3</v>
      </c>
      <c r="S17">
        <f>R17*0.001</f>
        <v>6.9999999999999999E-6</v>
      </c>
      <c r="T17" t="s">
        <v>241</v>
      </c>
    </row>
    <row r="18" spans="1:20" ht="15.6">
      <c r="A18" s="88" t="s">
        <v>799</v>
      </c>
      <c r="B18">
        <f t="shared" si="0"/>
        <v>1.26E-4</v>
      </c>
      <c r="D18" t="s">
        <v>37</v>
      </c>
      <c r="E18" s="17" t="s">
        <v>40</v>
      </c>
      <c r="F18" t="s">
        <v>29</v>
      </c>
      <c r="G18" s="74" t="s">
        <v>74</v>
      </c>
      <c r="H18" t="s">
        <v>33</v>
      </c>
      <c r="I18">
        <v>2</v>
      </c>
      <c r="J18">
        <f t="shared" si="1"/>
        <v>-8.9792286510127965</v>
      </c>
      <c r="K18">
        <v>3.7749172176353707E-2</v>
      </c>
      <c r="L18" t="s">
        <v>31</v>
      </c>
      <c r="M18" t="s">
        <v>31</v>
      </c>
      <c r="N18" t="s">
        <v>31</v>
      </c>
      <c r="Q18" s="78" t="s">
        <v>580</v>
      </c>
      <c r="R18" s="90">
        <v>0.126</v>
      </c>
      <c r="S18">
        <f>R18*0.001</f>
        <v>1.26E-4</v>
      </c>
      <c r="T18" t="s">
        <v>241</v>
      </c>
    </row>
    <row r="19" spans="1:20" ht="15.6">
      <c r="A19" s="88" t="s">
        <v>202</v>
      </c>
      <c r="B19">
        <f t="shared" si="0"/>
        <v>1.4999999999999999E-2</v>
      </c>
      <c r="D19" t="s">
        <v>37</v>
      </c>
      <c r="E19" s="17" t="s">
        <v>40</v>
      </c>
      <c r="F19" t="s">
        <v>29</v>
      </c>
      <c r="G19" s="74" t="s">
        <v>35</v>
      </c>
      <c r="H19" t="s">
        <v>33</v>
      </c>
      <c r="I19">
        <v>2</v>
      </c>
      <c r="J19">
        <f t="shared" si="1"/>
        <v>-4.1997050778799272</v>
      </c>
      <c r="K19">
        <v>3.7749172176353707E-2</v>
      </c>
      <c r="L19" t="s">
        <v>31</v>
      </c>
      <c r="M19" t="s">
        <v>31</v>
      </c>
      <c r="N19" t="s">
        <v>31</v>
      </c>
      <c r="Q19" s="78" t="s">
        <v>241</v>
      </c>
      <c r="R19" s="90">
        <v>1.4999999999999999E-2</v>
      </c>
      <c r="S19" s="87">
        <f>R19</f>
        <v>1.4999999999999999E-2</v>
      </c>
      <c r="T19" t="s">
        <v>241</v>
      </c>
    </row>
    <row r="20" spans="1:20" ht="15.6">
      <c r="A20" s="67" t="s">
        <v>5</v>
      </c>
      <c r="B20" s="68" t="s">
        <v>1668</v>
      </c>
      <c r="C20" s="68"/>
      <c r="D20" s="69"/>
      <c r="E20" s="70"/>
      <c r="F20" s="70"/>
      <c r="G20" s="70"/>
      <c r="H20" s="70"/>
      <c r="I20" s="70"/>
      <c r="J20" s="70"/>
      <c r="K20" s="70"/>
      <c r="L20" s="70"/>
      <c r="M20" s="70"/>
      <c r="N20" s="70"/>
    </row>
    <row r="21" spans="1:20">
      <c r="A21" s="71" t="s">
        <v>7</v>
      </c>
      <c r="B21" t="s">
        <v>1654</v>
      </c>
      <c r="D21" s="72"/>
    </row>
    <row r="22" spans="1:20">
      <c r="A22" s="71" t="s">
        <v>9</v>
      </c>
      <c r="B22" s="22" t="s">
        <v>1669</v>
      </c>
      <c r="C22" s="22"/>
      <c r="D22" s="72"/>
      <c r="Q22" t="s">
        <v>1663</v>
      </c>
    </row>
    <row r="23" spans="1:20" ht="14.25" customHeight="1">
      <c r="A23" s="71" t="s">
        <v>11</v>
      </c>
      <c r="B23" s="73" t="s">
        <v>796</v>
      </c>
      <c r="C23" s="73"/>
    </row>
    <row r="24" spans="1:20">
      <c r="A24" s="71" t="s">
        <v>13</v>
      </c>
      <c r="B24" t="s">
        <v>14</v>
      </c>
    </row>
    <row r="25" spans="1:20">
      <c r="A25" s="71" t="s">
        <v>15</v>
      </c>
      <c r="B25">
        <v>7.0000000000000001E-3</v>
      </c>
    </row>
    <row r="26" spans="1:20">
      <c r="A26" s="71" t="s">
        <v>16</v>
      </c>
      <c r="B26" t="s">
        <v>17</v>
      </c>
    </row>
    <row r="27" spans="1:20">
      <c r="A27" s="71" t="s">
        <v>18</v>
      </c>
      <c r="B27" t="s">
        <v>609</v>
      </c>
    </row>
    <row r="28" spans="1:20" ht="15.6">
      <c r="A28" s="75" t="s">
        <v>19</v>
      </c>
    </row>
    <row r="29" spans="1:20" ht="15.6">
      <c r="A29" s="75" t="s">
        <v>20</v>
      </c>
      <c r="B29" s="16" t="s">
        <v>21</v>
      </c>
      <c r="C29" s="77" t="s">
        <v>217</v>
      </c>
      <c r="D29" s="16" t="s">
        <v>18</v>
      </c>
      <c r="E29" s="16" t="s">
        <v>22</v>
      </c>
      <c r="F29" s="16" t="s">
        <v>7</v>
      </c>
      <c r="G29" s="16" t="s">
        <v>13</v>
      </c>
      <c r="H29" s="16" t="s">
        <v>16</v>
      </c>
      <c r="I29" s="16" t="s">
        <v>23</v>
      </c>
      <c r="J29" s="16" t="s">
        <v>24</v>
      </c>
      <c r="K29" s="16" t="s">
        <v>25</v>
      </c>
      <c r="L29" s="16" t="s">
        <v>26</v>
      </c>
      <c r="M29" s="16" t="s">
        <v>27</v>
      </c>
      <c r="N29" s="16" t="s">
        <v>28</v>
      </c>
      <c r="O29" s="16" t="s">
        <v>11</v>
      </c>
    </row>
    <row r="30" spans="1:20" ht="15.6">
      <c r="A30" s="76" t="s">
        <v>1668</v>
      </c>
      <c r="B30">
        <v>7.0000000000000001E-3</v>
      </c>
      <c r="D30" t="s">
        <v>609</v>
      </c>
      <c r="E30" s="17" t="s">
        <v>2</v>
      </c>
      <c r="F30" t="s">
        <v>29</v>
      </c>
      <c r="G30" s="74" t="s">
        <v>14</v>
      </c>
      <c r="H30" t="s">
        <v>30</v>
      </c>
      <c r="I30">
        <v>1</v>
      </c>
      <c r="J30">
        <f>B30</f>
        <v>7.0000000000000001E-3</v>
      </c>
      <c r="K30" t="s">
        <v>31</v>
      </c>
      <c r="L30" t="s">
        <v>31</v>
      </c>
      <c r="M30" t="s">
        <v>31</v>
      </c>
      <c r="N30" t="s">
        <v>31</v>
      </c>
    </row>
    <row r="31" spans="1:20" ht="15.6">
      <c r="A31" s="76" t="s">
        <v>1670</v>
      </c>
      <c r="B31">
        <v>1</v>
      </c>
      <c r="D31" t="s">
        <v>18</v>
      </c>
      <c r="E31" s="17" t="s">
        <v>2</v>
      </c>
      <c r="F31" t="s">
        <v>29</v>
      </c>
      <c r="G31" s="74" t="s">
        <v>14</v>
      </c>
      <c r="H31" t="s">
        <v>33</v>
      </c>
      <c r="I31">
        <v>1</v>
      </c>
      <c r="J31">
        <f>B31</f>
        <v>1</v>
      </c>
      <c r="K31" t="s">
        <v>31</v>
      </c>
      <c r="L31" t="s">
        <v>31</v>
      </c>
      <c r="M31" t="s">
        <v>31</v>
      </c>
      <c r="N31" t="s">
        <v>31</v>
      </c>
    </row>
    <row r="32" spans="1:20" ht="15.6">
      <c r="A32" s="76" t="s">
        <v>38</v>
      </c>
      <c r="B32">
        <v>1.02</v>
      </c>
      <c r="D32" t="s">
        <v>39</v>
      </c>
      <c r="E32" s="17" t="s">
        <v>40</v>
      </c>
      <c r="F32" t="s">
        <v>29</v>
      </c>
      <c r="G32" s="74" t="s">
        <v>14</v>
      </c>
      <c r="H32" t="s">
        <v>33</v>
      </c>
      <c r="I32">
        <v>2</v>
      </c>
      <c r="J32">
        <f>LN(B32)</f>
        <v>1.980262729617973E-2</v>
      </c>
      <c r="K32">
        <v>3.7749171999999998E-2</v>
      </c>
      <c r="L32" t="s">
        <v>31</v>
      </c>
      <c r="M32" t="s">
        <v>31</v>
      </c>
      <c r="N32" t="s">
        <v>31</v>
      </c>
    </row>
    <row r="33" spans="1:17" ht="15.6">
      <c r="A33" s="76" t="s">
        <v>798</v>
      </c>
      <c r="B33">
        <f>1.4/1000</f>
        <v>1.4E-3</v>
      </c>
      <c r="D33" t="s">
        <v>37</v>
      </c>
      <c r="E33" s="17" t="s">
        <v>40</v>
      </c>
      <c r="F33" t="s">
        <v>29</v>
      </c>
      <c r="G33" s="74" t="s">
        <v>35</v>
      </c>
      <c r="H33" t="s">
        <v>33</v>
      </c>
      <c r="I33">
        <v>2</v>
      </c>
      <c r="J33">
        <f t="shared" ref="J33:J45" si="2">LN(B33)</f>
        <v>-6.5712830423609239</v>
      </c>
      <c r="K33">
        <v>3.7749171999999998E-2</v>
      </c>
      <c r="L33" t="s">
        <v>31</v>
      </c>
      <c r="M33" t="s">
        <v>31</v>
      </c>
      <c r="N33" t="s">
        <v>31</v>
      </c>
    </row>
    <row r="34" spans="1:17" ht="15.6">
      <c r="A34" s="76" t="s">
        <v>308</v>
      </c>
      <c r="B34">
        <f>0.2/1000</f>
        <v>2.0000000000000001E-4</v>
      </c>
      <c r="D34" t="s">
        <v>37</v>
      </c>
      <c r="E34" s="17" t="s">
        <v>40</v>
      </c>
      <c r="F34" t="s">
        <v>29</v>
      </c>
      <c r="G34" s="74" t="s">
        <v>59</v>
      </c>
      <c r="H34" t="s">
        <v>33</v>
      </c>
      <c r="I34">
        <v>2</v>
      </c>
      <c r="J34">
        <f t="shared" si="2"/>
        <v>-8.5171931914162382</v>
      </c>
      <c r="K34">
        <v>3.7749171999999998E-2</v>
      </c>
      <c r="L34" t="s">
        <v>31</v>
      </c>
      <c r="M34" t="s">
        <v>31</v>
      </c>
      <c r="N34" t="s">
        <v>31</v>
      </c>
    </row>
    <row r="35" spans="1:17" ht="15.6">
      <c r="A35" s="76" t="s">
        <v>799</v>
      </c>
      <c r="B35">
        <f>7.1/1000</f>
        <v>7.0999999999999995E-3</v>
      </c>
      <c r="D35" t="s">
        <v>37</v>
      </c>
      <c r="E35" s="17" t="s">
        <v>40</v>
      </c>
      <c r="F35" t="s">
        <v>29</v>
      </c>
      <c r="G35" s="74" t="s">
        <v>74</v>
      </c>
      <c r="H35" t="s">
        <v>33</v>
      </c>
      <c r="I35">
        <v>2</v>
      </c>
      <c r="J35">
        <f t="shared" si="2"/>
        <v>-4.9476604949348673</v>
      </c>
      <c r="K35">
        <v>3.7749171999999998E-2</v>
      </c>
      <c r="L35" t="s">
        <v>31</v>
      </c>
      <c r="M35" t="s">
        <v>31</v>
      </c>
      <c r="N35" t="s">
        <v>31</v>
      </c>
    </row>
    <row r="36" spans="1:17" ht="15.6">
      <c r="A36" s="76" t="s">
        <v>202</v>
      </c>
      <c r="B36">
        <v>1.4</v>
      </c>
      <c r="D36" t="s">
        <v>37</v>
      </c>
      <c r="E36" s="17" t="s">
        <v>40</v>
      </c>
      <c r="F36" t="s">
        <v>29</v>
      </c>
      <c r="G36" s="74" t="s">
        <v>35</v>
      </c>
      <c r="H36" t="s">
        <v>33</v>
      </c>
      <c r="I36">
        <v>2</v>
      </c>
      <c r="J36">
        <f t="shared" si="2"/>
        <v>0.33647223662121289</v>
      </c>
      <c r="K36">
        <v>3.7749171999999998E-2</v>
      </c>
      <c r="L36" t="s">
        <v>31</v>
      </c>
      <c r="M36" t="s">
        <v>31</v>
      </c>
      <c r="N36" t="s">
        <v>31</v>
      </c>
    </row>
    <row r="37" spans="1:17" ht="15.6">
      <c r="A37" s="76" t="s">
        <v>800</v>
      </c>
      <c r="B37">
        <v>2E-3</v>
      </c>
      <c r="D37" t="s">
        <v>37</v>
      </c>
      <c r="E37" s="17" t="s">
        <v>40</v>
      </c>
      <c r="F37" t="s">
        <v>29</v>
      </c>
      <c r="G37" s="74" t="s">
        <v>59</v>
      </c>
      <c r="H37" t="s">
        <v>33</v>
      </c>
      <c r="I37">
        <v>2</v>
      </c>
      <c r="J37">
        <f t="shared" si="2"/>
        <v>-6.2146080984221914</v>
      </c>
      <c r="K37">
        <v>3.7749171999999998E-2</v>
      </c>
      <c r="L37" t="s">
        <v>31</v>
      </c>
      <c r="M37" t="s">
        <v>31</v>
      </c>
      <c r="N37" t="s">
        <v>31</v>
      </c>
    </row>
    <row r="38" spans="1:17" ht="15.6">
      <c r="A38" s="76" t="s">
        <v>801</v>
      </c>
      <c r="B38">
        <v>3.0000000000000001E-3</v>
      </c>
      <c r="D38" t="s">
        <v>37</v>
      </c>
      <c r="E38" s="17" t="s">
        <v>40</v>
      </c>
      <c r="F38" t="s">
        <v>29</v>
      </c>
      <c r="G38" s="74" t="s">
        <v>59</v>
      </c>
      <c r="H38" t="s">
        <v>33</v>
      </c>
      <c r="I38">
        <v>2</v>
      </c>
      <c r="J38">
        <f t="shared" si="2"/>
        <v>-5.8091429903140277</v>
      </c>
      <c r="K38">
        <v>3.7749171999999998E-2</v>
      </c>
      <c r="L38" t="s">
        <v>31</v>
      </c>
      <c r="M38" t="s">
        <v>31</v>
      </c>
      <c r="N38" t="s">
        <v>31</v>
      </c>
    </row>
    <row r="39" spans="1:17" ht="15.6">
      <c r="A39" s="76" t="s">
        <v>802</v>
      </c>
      <c r="B39">
        <v>2.9999999999999997E-4</v>
      </c>
      <c r="D39" t="s">
        <v>37</v>
      </c>
      <c r="E39" s="17" t="s">
        <v>40</v>
      </c>
      <c r="F39" t="s">
        <v>29</v>
      </c>
      <c r="G39" s="74" t="s">
        <v>35</v>
      </c>
      <c r="H39" t="s">
        <v>33</v>
      </c>
      <c r="I39">
        <v>2</v>
      </c>
      <c r="J39">
        <f t="shared" si="2"/>
        <v>-8.1117280833080727</v>
      </c>
      <c r="K39">
        <v>3.7749171999999998E-2</v>
      </c>
      <c r="L39" t="s">
        <v>31</v>
      </c>
      <c r="M39" t="s">
        <v>31</v>
      </c>
      <c r="N39" t="s">
        <v>31</v>
      </c>
    </row>
    <row r="40" spans="1:17" ht="15.6">
      <c r="A40" s="76" t="s">
        <v>803</v>
      </c>
      <c r="B40">
        <v>1.5E-3</v>
      </c>
      <c r="D40" t="s">
        <v>37</v>
      </c>
      <c r="E40" s="17" t="s">
        <v>40</v>
      </c>
      <c r="F40" t="s">
        <v>29</v>
      </c>
      <c r="G40" s="74" t="s">
        <v>59</v>
      </c>
      <c r="H40" t="s">
        <v>33</v>
      </c>
      <c r="I40">
        <v>2</v>
      </c>
      <c r="J40">
        <f t="shared" si="2"/>
        <v>-6.5022901708739722</v>
      </c>
      <c r="K40">
        <v>3.7749171999999998E-2</v>
      </c>
      <c r="L40" t="s">
        <v>31</v>
      </c>
      <c r="M40" t="s">
        <v>31</v>
      </c>
      <c r="N40" t="s">
        <v>31</v>
      </c>
    </row>
    <row r="41" spans="1:17" ht="15.6">
      <c r="A41" s="76" t="s">
        <v>804</v>
      </c>
      <c r="B41">
        <v>5.0000000000000001E-4</v>
      </c>
      <c r="D41" t="s">
        <v>37</v>
      </c>
      <c r="E41" s="17" t="s">
        <v>40</v>
      </c>
      <c r="F41" t="s">
        <v>29</v>
      </c>
      <c r="G41" s="74" t="s">
        <v>35</v>
      </c>
      <c r="H41" t="s">
        <v>33</v>
      </c>
      <c r="I41">
        <v>2</v>
      </c>
      <c r="J41">
        <f t="shared" si="2"/>
        <v>-7.6009024595420822</v>
      </c>
      <c r="K41">
        <v>3.7749171999999998E-2</v>
      </c>
      <c r="L41" t="s">
        <v>31</v>
      </c>
      <c r="M41" t="s">
        <v>31</v>
      </c>
      <c r="N41" t="s">
        <v>31</v>
      </c>
    </row>
    <row r="42" spans="1:17" ht="15.6">
      <c r="A42" s="76" t="s">
        <v>322</v>
      </c>
      <c r="B42">
        <v>8.9999999999999992E-5</v>
      </c>
      <c r="D42" t="s">
        <v>37</v>
      </c>
      <c r="E42" s="17" t="s">
        <v>43</v>
      </c>
      <c r="F42" t="s">
        <v>44</v>
      </c>
      <c r="G42" s="74" t="s">
        <v>29</v>
      </c>
      <c r="H42" t="s">
        <v>45</v>
      </c>
      <c r="I42">
        <v>2</v>
      </c>
      <c r="J42">
        <f t="shared" si="2"/>
        <v>-9.3157008876340086</v>
      </c>
      <c r="K42">
        <v>3.7749171999999998E-2</v>
      </c>
      <c r="L42" t="s">
        <v>31</v>
      </c>
      <c r="M42" t="s">
        <v>31</v>
      </c>
      <c r="N42" t="s">
        <v>31</v>
      </c>
    </row>
    <row r="43" spans="1:17" ht="15.6">
      <c r="A43" s="76" t="s">
        <v>758</v>
      </c>
      <c r="B43">
        <v>3.3999999999999998E-3</v>
      </c>
      <c r="D43" t="s">
        <v>37</v>
      </c>
      <c r="E43" s="17" t="s">
        <v>43</v>
      </c>
      <c r="F43" t="s">
        <v>44</v>
      </c>
      <c r="G43" s="74" t="s">
        <v>29</v>
      </c>
      <c r="H43" t="s">
        <v>45</v>
      </c>
      <c r="I43">
        <v>2</v>
      </c>
      <c r="J43">
        <f t="shared" si="2"/>
        <v>-5.6839798473600212</v>
      </c>
      <c r="K43">
        <v>3.7749171999999998E-2</v>
      </c>
      <c r="L43" t="s">
        <v>31</v>
      </c>
      <c r="M43" t="s">
        <v>31</v>
      </c>
      <c r="N43" t="s">
        <v>31</v>
      </c>
    </row>
    <row r="44" spans="1:17" ht="15.6">
      <c r="A44" s="17" t="s">
        <v>1657</v>
      </c>
      <c r="B44">
        <v>1.4E-3</v>
      </c>
      <c r="D44" t="s">
        <v>37</v>
      </c>
      <c r="E44" s="17" t="s">
        <v>2</v>
      </c>
      <c r="F44" t="s">
        <v>29</v>
      </c>
      <c r="G44" s="74" t="s">
        <v>74</v>
      </c>
      <c r="H44" t="s">
        <v>33</v>
      </c>
      <c r="I44">
        <v>2</v>
      </c>
      <c r="J44">
        <f t="shared" si="2"/>
        <v>-6.5712830423609239</v>
      </c>
      <c r="K44">
        <v>3.7749171999999998E-2</v>
      </c>
      <c r="L44" t="s">
        <v>31</v>
      </c>
      <c r="M44" t="s">
        <v>31</v>
      </c>
      <c r="N44" t="s">
        <v>31</v>
      </c>
    </row>
    <row r="45" spans="1:17" ht="15.6">
      <c r="A45" s="17" t="s">
        <v>1659</v>
      </c>
      <c r="B45">
        <v>6.0000000000000002E-5</v>
      </c>
      <c r="D45" t="s">
        <v>37</v>
      </c>
      <c r="E45" s="17" t="s">
        <v>2</v>
      </c>
      <c r="F45" t="s">
        <v>29</v>
      </c>
      <c r="G45" t="s">
        <v>74</v>
      </c>
      <c r="H45" t="s">
        <v>33</v>
      </c>
      <c r="I45">
        <v>2</v>
      </c>
      <c r="J45">
        <f t="shared" si="2"/>
        <v>-9.7211659957421741</v>
      </c>
      <c r="K45">
        <v>3.7749171999999998E-2</v>
      </c>
      <c r="L45" t="s">
        <v>31</v>
      </c>
      <c r="M45" t="s">
        <v>31</v>
      </c>
      <c r="N45" t="s">
        <v>31</v>
      </c>
    </row>
    <row r="46" spans="1:17" ht="15.6">
      <c r="A46" s="67" t="s">
        <v>5</v>
      </c>
      <c r="B46" s="68" t="s">
        <v>1670</v>
      </c>
      <c r="C46" s="68"/>
      <c r="D46" s="69"/>
      <c r="E46" s="70"/>
      <c r="F46" s="70"/>
      <c r="G46" s="70"/>
      <c r="H46" s="70"/>
      <c r="I46" s="70"/>
      <c r="J46" s="70"/>
      <c r="K46" s="70"/>
      <c r="L46" s="70"/>
      <c r="M46" s="70"/>
      <c r="N46" s="70"/>
    </row>
    <row r="47" spans="1:17">
      <c r="A47" s="71" t="s">
        <v>7</v>
      </c>
      <c r="B47" t="s">
        <v>1654</v>
      </c>
      <c r="D47" s="72"/>
      <c r="Q47" t="s">
        <v>1663</v>
      </c>
    </row>
    <row r="48" spans="1:17">
      <c r="A48" s="71" t="s">
        <v>9</v>
      </c>
      <c r="B48" t="s">
        <v>1671</v>
      </c>
      <c r="D48" s="72"/>
    </row>
    <row r="49" spans="1:20" ht="14.25" customHeight="1">
      <c r="A49" s="71" t="s">
        <v>11</v>
      </c>
      <c r="B49" s="73" t="s">
        <v>796</v>
      </c>
      <c r="C49" s="73"/>
    </row>
    <row r="50" spans="1:20">
      <c r="A50" s="71" t="s">
        <v>13</v>
      </c>
      <c r="B50" t="s">
        <v>14</v>
      </c>
    </row>
    <row r="51" spans="1:20">
      <c r="A51" s="71" t="s">
        <v>15</v>
      </c>
      <c r="B51">
        <v>1</v>
      </c>
    </row>
    <row r="52" spans="1:20">
      <c r="A52" s="71" t="s">
        <v>16</v>
      </c>
      <c r="B52" t="s">
        <v>17</v>
      </c>
    </row>
    <row r="53" spans="1:20">
      <c r="A53" s="71" t="s">
        <v>18</v>
      </c>
      <c r="B53" t="s">
        <v>18</v>
      </c>
    </row>
    <row r="54" spans="1:20" ht="15.6">
      <c r="A54" s="75" t="s">
        <v>19</v>
      </c>
    </row>
    <row r="55" spans="1:20" ht="15.6">
      <c r="A55" s="75" t="s">
        <v>20</v>
      </c>
      <c r="B55" s="16" t="s">
        <v>21</v>
      </c>
      <c r="C55" s="77" t="s">
        <v>217</v>
      </c>
      <c r="D55" s="16" t="s">
        <v>18</v>
      </c>
      <c r="E55" s="16" t="s">
        <v>22</v>
      </c>
      <c r="F55" s="16" t="s">
        <v>7</v>
      </c>
      <c r="G55" s="16" t="s">
        <v>13</v>
      </c>
      <c r="H55" s="16" t="s">
        <v>16</v>
      </c>
      <c r="I55" s="16" t="s">
        <v>23</v>
      </c>
      <c r="J55" s="16" t="s">
        <v>24</v>
      </c>
      <c r="K55" s="16" t="s">
        <v>25</v>
      </c>
      <c r="L55" s="16" t="s">
        <v>26</v>
      </c>
      <c r="M55" s="16" t="s">
        <v>27</v>
      </c>
      <c r="N55" s="16" t="s">
        <v>28</v>
      </c>
      <c r="O55" s="16" t="s">
        <v>11</v>
      </c>
    </row>
    <row r="56" spans="1:20" ht="15.6">
      <c r="A56" s="76" t="s">
        <v>1670</v>
      </c>
      <c r="B56">
        <v>1</v>
      </c>
      <c r="D56" t="s">
        <v>18</v>
      </c>
      <c r="E56" s="17" t="s">
        <v>2</v>
      </c>
      <c r="F56" t="s">
        <v>29</v>
      </c>
      <c r="G56" s="74" t="s">
        <v>14</v>
      </c>
      <c r="H56" t="s">
        <v>30</v>
      </c>
      <c r="I56">
        <v>1</v>
      </c>
      <c r="J56">
        <f>B56</f>
        <v>1</v>
      </c>
      <c r="K56" t="s">
        <v>31</v>
      </c>
      <c r="L56" t="s">
        <v>31</v>
      </c>
      <c r="M56" t="s">
        <v>31</v>
      </c>
      <c r="N56" t="s">
        <v>31</v>
      </c>
    </row>
    <row r="57" spans="1:20" ht="15.6">
      <c r="A57" s="76" t="s">
        <v>806</v>
      </c>
      <c r="B57">
        <f>T57</f>
        <v>6.9999999999999993E-3</v>
      </c>
      <c r="D57" t="s">
        <v>609</v>
      </c>
      <c r="E57" s="17" t="s">
        <v>40</v>
      </c>
      <c r="F57" t="s">
        <v>29</v>
      </c>
      <c r="G57" s="74" t="s">
        <v>59</v>
      </c>
      <c r="H57" t="s">
        <v>33</v>
      </c>
      <c r="I57">
        <v>2</v>
      </c>
      <c r="J57">
        <f>LN(B57)</f>
        <v>-4.9618451299268242</v>
      </c>
      <c r="K57">
        <v>2.8722813232690055E-2</v>
      </c>
      <c r="L57" t="s">
        <v>31</v>
      </c>
      <c r="M57" t="s">
        <v>31</v>
      </c>
      <c r="N57" t="s">
        <v>31</v>
      </c>
      <c r="Q57" s="78" t="s">
        <v>807</v>
      </c>
      <c r="R57" s="79">
        <v>0.7</v>
      </c>
      <c r="S57" t="s">
        <v>610</v>
      </c>
      <c r="T57">
        <f>R57*0.01</f>
        <v>6.9999999999999993E-3</v>
      </c>
    </row>
    <row r="58" spans="1:20" ht="15.6">
      <c r="A58" s="76" t="s">
        <v>808</v>
      </c>
      <c r="B58">
        <f t="shared" ref="B58:B70" si="3">T58</f>
        <v>3.7000000000000002E-3</v>
      </c>
      <c r="D58" t="s">
        <v>37</v>
      </c>
      <c r="E58" s="17" t="s">
        <v>40</v>
      </c>
      <c r="F58" t="s">
        <v>29</v>
      </c>
      <c r="G58" s="74" t="s">
        <v>59</v>
      </c>
      <c r="H58" t="s">
        <v>33</v>
      </c>
      <c r="I58">
        <v>2</v>
      </c>
      <c r="J58">
        <f t="shared" ref="J58:J70" si="4">LN(B58)</f>
        <v>-5.5994224593319579</v>
      </c>
      <c r="K58">
        <v>2.8722813232690055E-2</v>
      </c>
      <c r="L58" t="s">
        <v>31</v>
      </c>
      <c r="M58" t="s">
        <v>31</v>
      </c>
      <c r="N58" t="s">
        <v>31</v>
      </c>
      <c r="Q58" s="80" t="s">
        <v>580</v>
      </c>
      <c r="R58" s="81">
        <v>3.7</v>
      </c>
      <c r="S58" t="s">
        <v>241</v>
      </c>
      <c r="T58">
        <f>R58*0.001</f>
        <v>3.7000000000000002E-3</v>
      </c>
    </row>
    <row r="59" spans="1:20" ht="15.6">
      <c r="A59" s="76" t="s">
        <v>809</v>
      </c>
      <c r="B59">
        <f t="shared" si="3"/>
        <v>1.9E-3</v>
      </c>
      <c r="D59" t="s">
        <v>37</v>
      </c>
      <c r="E59" s="17" t="s">
        <v>40</v>
      </c>
      <c r="F59" t="s">
        <v>29</v>
      </c>
      <c r="G59" s="74" t="s">
        <v>59</v>
      </c>
      <c r="H59" t="s">
        <v>33</v>
      </c>
      <c r="I59">
        <v>2</v>
      </c>
      <c r="J59">
        <f t="shared" si="4"/>
        <v>-6.2659013928097425</v>
      </c>
      <c r="K59">
        <v>2.8722813232690055E-2</v>
      </c>
      <c r="L59" t="s">
        <v>31</v>
      </c>
      <c r="M59" t="s">
        <v>31</v>
      </c>
      <c r="N59" t="s">
        <v>31</v>
      </c>
      <c r="Q59" s="78" t="s">
        <v>580</v>
      </c>
      <c r="R59" s="79">
        <v>1.9</v>
      </c>
      <c r="S59" t="s">
        <v>241</v>
      </c>
      <c r="T59">
        <f t="shared" ref="T59:T60" si="5">R59*0.001</f>
        <v>1.9E-3</v>
      </c>
    </row>
    <row r="60" spans="1:20" ht="15.6">
      <c r="A60" s="76" t="s">
        <v>811</v>
      </c>
      <c r="B60">
        <f t="shared" si="3"/>
        <v>4.7999999999999996E-3</v>
      </c>
      <c r="D60" t="s">
        <v>37</v>
      </c>
      <c r="E60" s="17" t="s">
        <v>40</v>
      </c>
      <c r="F60" t="s">
        <v>29</v>
      </c>
      <c r="G60" s="74" t="s">
        <v>59</v>
      </c>
      <c r="H60" t="s">
        <v>33</v>
      </c>
      <c r="I60">
        <v>2</v>
      </c>
      <c r="J60">
        <f t="shared" si="4"/>
        <v>-5.339139361068292</v>
      </c>
      <c r="K60">
        <v>2.8722813232690055E-2</v>
      </c>
      <c r="L60" t="s">
        <v>31</v>
      </c>
      <c r="M60" t="s">
        <v>31</v>
      </c>
      <c r="N60" t="s">
        <v>31</v>
      </c>
      <c r="Q60" s="78" t="s">
        <v>580</v>
      </c>
      <c r="R60" s="81">
        <v>4.8</v>
      </c>
      <c r="S60" t="s">
        <v>241</v>
      </c>
      <c r="T60">
        <f t="shared" si="5"/>
        <v>4.7999999999999996E-3</v>
      </c>
    </row>
    <row r="61" spans="1:20" ht="15.6">
      <c r="A61" t="s">
        <v>829</v>
      </c>
      <c r="B61">
        <f t="shared" si="3"/>
        <v>2.9999999999999997E-4</v>
      </c>
      <c r="D61" t="s">
        <v>37</v>
      </c>
      <c r="E61" s="17" t="s">
        <v>40</v>
      </c>
      <c r="F61" t="s">
        <v>29</v>
      </c>
      <c r="G61" s="74" t="s">
        <v>59</v>
      </c>
      <c r="H61" t="s">
        <v>33</v>
      </c>
      <c r="I61">
        <v>2</v>
      </c>
      <c r="J61">
        <f t="shared" si="4"/>
        <v>-8.1117280833080727</v>
      </c>
      <c r="K61">
        <v>2.8722813232690055E-2</v>
      </c>
      <c r="L61" t="s">
        <v>31</v>
      </c>
      <c r="M61" t="s">
        <v>31</v>
      </c>
      <c r="N61" t="s">
        <v>31</v>
      </c>
      <c r="Q61" s="80" t="s">
        <v>538</v>
      </c>
      <c r="R61" s="82">
        <v>300</v>
      </c>
      <c r="S61" t="s">
        <v>241</v>
      </c>
      <c r="T61">
        <f>R61*0.000001</f>
        <v>2.9999999999999997E-4</v>
      </c>
    </row>
    <row r="62" spans="1:20" ht="15.6">
      <c r="A62" s="76" t="s">
        <v>812</v>
      </c>
      <c r="B62">
        <f t="shared" si="3"/>
        <v>1.1E-5</v>
      </c>
      <c r="D62" t="s">
        <v>37</v>
      </c>
      <c r="E62" s="17" t="s">
        <v>40</v>
      </c>
      <c r="F62" t="s">
        <v>29</v>
      </c>
      <c r="G62" s="74" t="s">
        <v>59</v>
      </c>
      <c r="H62" t="s">
        <v>33</v>
      </c>
      <c r="I62">
        <v>2</v>
      </c>
      <c r="J62">
        <f t="shared" si="4"/>
        <v>-11.417615285165903</v>
      </c>
      <c r="K62">
        <v>2.8722813232690055E-2</v>
      </c>
      <c r="L62" t="s">
        <v>31</v>
      </c>
      <c r="M62" t="s">
        <v>31</v>
      </c>
      <c r="N62" t="s">
        <v>31</v>
      </c>
      <c r="Q62" s="80" t="s">
        <v>538</v>
      </c>
      <c r="R62" s="82">
        <v>11</v>
      </c>
      <c r="S62" t="s">
        <v>241</v>
      </c>
      <c r="T62">
        <f>R62*0.000001</f>
        <v>1.1E-5</v>
      </c>
    </row>
    <row r="63" spans="1:20" ht="15.6">
      <c r="A63" s="76" t="s">
        <v>813</v>
      </c>
      <c r="B63">
        <f t="shared" si="3"/>
        <v>5.4000000000000001E-4</v>
      </c>
      <c r="D63" t="s">
        <v>37</v>
      </c>
      <c r="E63" s="17" t="s">
        <v>40</v>
      </c>
      <c r="F63" t="s">
        <v>29</v>
      </c>
      <c r="G63" s="74" t="s">
        <v>59</v>
      </c>
      <c r="H63" t="s">
        <v>33</v>
      </c>
      <c r="I63">
        <v>2</v>
      </c>
      <c r="J63">
        <f t="shared" si="4"/>
        <v>-7.5239414184059541</v>
      </c>
      <c r="K63">
        <v>2.8722813232690055E-2</v>
      </c>
      <c r="L63" t="s">
        <v>31</v>
      </c>
      <c r="M63" t="s">
        <v>31</v>
      </c>
      <c r="N63" t="s">
        <v>31</v>
      </c>
      <c r="Q63" s="80" t="s">
        <v>538</v>
      </c>
      <c r="R63" s="82">
        <v>540</v>
      </c>
      <c r="S63" t="s">
        <v>241</v>
      </c>
      <c r="T63">
        <f>R63*0.000001</f>
        <v>5.4000000000000001E-4</v>
      </c>
    </row>
    <row r="64" spans="1:20" ht="15.6">
      <c r="A64" s="76" t="s">
        <v>814</v>
      </c>
      <c r="B64">
        <f t="shared" si="3"/>
        <v>6.5000000000000006E-3</v>
      </c>
      <c r="D64" t="s">
        <v>37</v>
      </c>
      <c r="E64" s="17" t="s">
        <v>40</v>
      </c>
      <c r="F64" t="s">
        <v>29</v>
      </c>
      <c r="G64" s="74" t="s">
        <v>59</v>
      </c>
      <c r="H64" t="s">
        <v>33</v>
      </c>
      <c r="I64">
        <v>2</v>
      </c>
      <c r="J64">
        <f t="shared" si="4"/>
        <v>-5.0359531020805459</v>
      </c>
      <c r="K64">
        <v>2.8722813232690055E-2</v>
      </c>
      <c r="L64" t="s">
        <v>31</v>
      </c>
      <c r="M64" t="s">
        <v>31</v>
      </c>
      <c r="N64" t="s">
        <v>31</v>
      </c>
      <c r="Q64" s="80" t="s">
        <v>580</v>
      </c>
      <c r="R64" s="81">
        <v>6.5</v>
      </c>
      <c r="S64" t="s">
        <v>241</v>
      </c>
      <c r="T64">
        <f t="shared" ref="T64" si="6">R64*0.001</f>
        <v>6.5000000000000006E-3</v>
      </c>
    </row>
    <row r="65" spans="1:20" ht="15.6">
      <c r="A65" s="88" t="s">
        <v>830</v>
      </c>
      <c r="B65">
        <f t="shared" si="3"/>
        <v>3.6000000000000001E-5</v>
      </c>
      <c r="D65" t="s">
        <v>37</v>
      </c>
      <c r="E65" s="17" t="s">
        <v>40</v>
      </c>
      <c r="F65" t="s">
        <v>29</v>
      </c>
      <c r="G65" s="74" t="s">
        <v>59</v>
      </c>
      <c r="H65" t="s">
        <v>33</v>
      </c>
      <c r="I65">
        <v>2</v>
      </c>
      <c r="J65">
        <f t="shared" si="4"/>
        <v>-10.231991619508165</v>
      </c>
      <c r="K65">
        <v>2.8722813232690055E-2</v>
      </c>
      <c r="L65" t="s">
        <v>31</v>
      </c>
      <c r="M65" t="s">
        <v>31</v>
      </c>
      <c r="N65" t="s">
        <v>31</v>
      </c>
      <c r="Q65" s="78" t="s">
        <v>538</v>
      </c>
      <c r="R65" s="83">
        <v>36</v>
      </c>
      <c r="S65" t="s">
        <v>241</v>
      </c>
      <c r="T65">
        <f>R65*0.000001</f>
        <v>3.6000000000000001E-5</v>
      </c>
    </row>
    <row r="66" spans="1:20" ht="15.6">
      <c r="A66" s="76" t="s">
        <v>815</v>
      </c>
      <c r="B66">
        <f t="shared" si="3"/>
        <v>3.5E-4</v>
      </c>
      <c r="D66" t="s">
        <v>37</v>
      </c>
      <c r="E66" s="17" t="s">
        <v>40</v>
      </c>
      <c r="F66" t="s">
        <v>29</v>
      </c>
      <c r="G66" s="74" t="s">
        <v>59</v>
      </c>
      <c r="H66" t="s">
        <v>33</v>
      </c>
      <c r="I66">
        <v>2</v>
      </c>
      <c r="J66">
        <f t="shared" si="4"/>
        <v>-7.9575774034808147</v>
      </c>
      <c r="K66">
        <v>2.8722813232690055E-2</v>
      </c>
      <c r="L66" t="s">
        <v>31</v>
      </c>
      <c r="M66" t="s">
        <v>31</v>
      </c>
      <c r="N66" t="s">
        <v>31</v>
      </c>
      <c r="Q66" s="80" t="s">
        <v>538</v>
      </c>
      <c r="R66" s="82">
        <v>350</v>
      </c>
      <c r="S66" t="s">
        <v>241</v>
      </c>
      <c r="T66">
        <f>R66*0.000001</f>
        <v>3.5E-4</v>
      </c>
    </row>
    <row r="67" spans="1:20" ht="15.6">
      <c r="A67" s="88" t="s">
        <v>831</v>
      </c>
      <c r="B67">
        <f t="shared" si="3"/>
        <v>1.8E-5</v>
      </c>
      <c r="D67" t="s">
        <v>37</v>
      </c>
      <c r="E67" s="17" t="s">
        <v>40</v>
      </c>
      <c r="F67" t="s">
        <v>29</v>
      </c>
      <c r="G67" s="74" t="s">
        <v>59</v>
      </c>
      <c r="H67" t="s">
        <v>33</v>
      </c>
      <c r="I67">
        <v>2</v>
      </c>
      <c r="J67">
        <f t="shared" si="4"/>
        <v>-10.92513880006811</v>
      </c>
      <c r="K67">
        <v>2.8722813232690055E-2</v>
      </c>
      <c r="L67" t="s">
        <v>31</v>
      </c>
      <c r="M67" t="s">
        <v>31</v>
      </c>
      <c r="N67" t="s">
        <v>31</v>
      </c>
      <c r="Q67" s="78" t="s">
        <v>538</v>
      </c>
      <c r="R67" s="83">
        <v>18</v>
      </c>
      <c r="S67" t="s">
        <v>241</v>
      </c>
      <c r="T67">
        <f>R67*0.000001</f>
        <v>1.8E-5</v>
      </c>
    </row>
    <row r="68" spans="1:20" ht="15.6">
      <c r="A68" s="88" t="s">
        <v>832</v>
      </c>
      <c r="B68">
        <f t="shared" si="3"/>
        <v>5.7000000000000002E-3</v>
      </c>
      <c r="D68" t="s">
        <v>37</v>
      </c>
      <c r="E68" s="17" t="s">
        <v>40</v>
      </c>
      <c r="F68" t="s">
        <v>29</v>
      </c>
      <c r="G68" s="74" t="s">
        <v>59</v>
      </c>
      <c r="H68" t="s">
        <v>33</v>
      </c>
      <c r="I68">
        <v>2</v>
      </c>
      <c r="J68">
        <f t="shared" si="4"/>
        <v>-5.1672891041416324</v>
      </c>
      <c r="K68">
        <v>2.8722813232690055E-2</v>
      </c>
      <c r="L68" t="s">
        <v>31</v>
      </c>
      <c r="M68" t="s">
        <v>31</v>
      </c>
      <c r="N68" t="s">
        <v>31</v>
      </c>
      <c r="Q68" s="80" t="s">
        <v>580</v>
      </c>
      <c r="R68" s="81">
        <v>5.7</v>
      </c>
      <c r="S68" t="s">
        <v>241</v>
      </c>
      <c r="T68">
        <f>R68*0.001</f>
        <v>5.7000000000000002E-3</v>
      </c>
    </row>
    <row r="69" spans="1:20" ht="15.6">
      <c r="A69" s="76" t="s">
        <v>816</v>
      </c>
      <c r="B69">
        <f t="shared" si="3"/>
        <v>2.9999999999999997E-4</v>
      </c>
      <c r="D69" t="s">
        <v>37</v>
      </c>
      <c r="E69" s="17" t="s">
        <v>40</v>
      </c>
      <c r="F69" t="s">
        <v>29</v>
      </c>
      <c r="G69" s="74" t="s">
        <v>59</v>
      </c>
      <c r="H69" t="s">
        <v>33</v>
      </c>
      <c r="I69">
        <v>2</v>
      </c>
      <c r="J69">
        <f t="shared" si="4"/>
        <v>-8.1117280833080727</v>
      </c>
      <c r="K69">
        <v>2.8722813232690055E-2</v>
      </c>
      <c r="L69" t="s">
        <v>31</v>
      </c>
      <c r="M69" t="s">
        <v>31</v>
      </c>
      <c r="N69" t="s">
        <v>31</v>
      </c>
      <c r="Q69" s="78" t="s">
        <v>538</v>
      </c>
      <c r="R69" s="83">
        <v>300</v>
      </c>
      <c r="S69" t="s">
        <v>241</v>
      </c>
      <c r="T69">
        <f>R69*0.000001</f>
        <v>2.9999999999999997E-4</v>
      </c>
    </row>
    <row r="70" spans="1:20" ht="15.6">
      <c r="A70" s="76" t="s">
        <v>818</v>
      </c>
      <c r="B70">
        <f t="shared" si="3"/>
        <v>5.4000000000000001E-4</v>
      </c>
      <c r="D70" t="s">
        <v>37</v>
      </c>
      <c r="E70" s="17" t="s">
        <v>40</v>
      </c>
      <c r="F70" t="s">
        <v>29</v>
      </c>
      <c r="G70" s="74" t="s">
        <v>59</v>
      </c>
      <c r="H70" t="s">
        <v>33</v>
      </c>
      <c r="I70">
        <v>2</v>
      </c>
      <c r="J70">
        <f t="shared" si="4"/>
        <v>-7.5239414184059541</v>
      </c>
      <c r="K70">
        <v>2.8722813232690055E-2</v>
      </c>
      <c r="L70" t="s">
        <v>31</v>
      </c>
      <c r="M70" t="s">
        <v>31</v>
      </c>
      <c r="N70" t="s">
        <v>31</v>
      </c>
      <c r="Q70" s="80" t="s">
        <v>538</v>
      </c>
      <c r="R70" s="82">
        <v>540</v>
      </c>
      <c r="S70" t="s">
        <v>241</v>
      </c>
      <c r="T70">
        <f>R70*0.000001</f>
        <v>5.4000000000000001E-4</v>
      </c>
    </row>
    <row r="75" spans="1:20">
      <c r="B75" s="22"/>
      <c r="C75" s="22"/>
    </row>
  </sheetData>
  <pageMargins left="0.7" right="0.7" top="0.75" bottom="0.75" header="0.3" footer="0.3"/>
  <pageSetup paperSize="9" orientation="portrai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B06A1-1005-4F36-9E3E-8DCD2F8A340A}">
  <sheetPr>
    <tabColor theme="5" tint="0.79998168889431442"/>
  </sheetPr>
  <dimension ref="A1:AC41"/>
  <sheetViews>
    <sheetView zoomScale="70" zoomScaleNormal="70" workbookViewId="0">
      <selection activeCell="I13" sqref="I13:I30"/>
    </sheetView>
  </sheetViews>
  <sheetFormatPr defaultRowHeight="14.4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4" max="24" width="0" hidden="1" customWidth="1"/>
  </cols>
  <sheetData>
    <row r="1" spans="1:26" ht="15.6">
      <c r="A1" t="s">
        <v>0</v>
      </c>
      <c r="B1">
        <v>13</v>
      </c>
      <c r="N1" s="17" t="str">
        <f ca="1">UPPER(CONCATENATE(DEC2HEX(RANDBETWEEN(0,POWER(16,8)),8),DEC2HEX(RANDBETWEEN(0,POWER(16,4)),4),"4",DEC2HEX(RANDBETWEEN(0,POWER(16,3)),3),DEC2HEX(RANDBETWEEN(8,11)),DEC2HEX(RANDBETWEEN(0,POWER(16,3)),3),DEC2HEX(RANDBETWEEN(0,POWER(16,8)),8),DEC2HEX(RANDBETWEEN(0,POWER(16,4)),4)))</f>
        <v>C2707327870542FF952E5AA8CF0A212B</v>
      </c>
    </row>
    <row r="2" spans="1:26" ht="15.6">
      <c r="A2" s="67" t="s">
        <v>5</v>
      </c>
      <c r="B2" s="68" t="s">
        <v>1672</v>
      </c>
      <c r="C2" s="69"/>
      <c r="D2" s="70"/>
      <c r="E2" s="70"/>
      <c r="F2" s="70"/>
      <c r="G2" s="70"/>
      <c r="H2" s="70"/>
      <c r="I2" s="70"/>
      <c r="J2" s="70"/>
      <c r="K2" s="70"/>
      <c r="L2" s="70"/>
      <c r="M2" s="70"/>
    </row>
    <row r="3" spans="1:26">
      <c r="A3" s="71" t="s">
        <v>7</v>
      </c>
      <c r="B3" t="s">
        <v>1654</v>
      </c>
      <c r="C3" s="72"/>
    </row>
    <row r="4" spans="1:26">
      <c r="A4" s="71" t="s">
        <v>9</v>
      </c>
      <c r="B4" t="s">
        <v>1673</v>
      </c>
      <c r="C4" s="72"/>
    </row>
    <row r="5" spans="1:26" ht="29.1">
      <c r="A5" s="71" t="s">
        <v>11</v>
      </c>
      <c r="B5" s="73" t="s">
        <v>1674</v>
      </c>
    </row>
    <row r="6" spans="1:26">
      <c r="A6" s="71" t="s">
        <v>13</v>
      </c>
      <c r="B6" t="s">
        <v>14</v>
      </c>
    </row>
    <row r="7" spans="1:26">
      <c r="A7" s="71" t="s">
        <v>15</v>
      </c>
      <c r="B7">
        <v>1</v>
      </c>
    </row>
    <row r="8" spans="1:26">
      <c r="A8" s="71" t="s">
        <v>16</v>
      </c>
      <c r="B8" t="s">
        <v>17</v>
      </c>
    </row>
    <row r="9" spans="1:26">
      <c r="A9" s="71" t="s">
        <v>18</v>
      </c>
      <c r="B9" t="s">
        <v>18</v>
      </c>
    </row>
    <row r="10" spans="1:26" ht="15.6">
      <c r="A10" s="75" t="s">
        <v>19</v>
      </c>
    </row>
    <row r="11" spans="1:26" ht="15.6">
      <c r="A11" s="7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6" ht="15.6">
      <c r="A12" s="68" t="s">
        <v>1672</v>
      </c>
      <c r="B12">
        <v>1</v>
      </c>
      <c r="C12" t="s">
        <v>18</v>
      </c>
      <c r="D12" s="17" t="s">
        <v>2</v>
      </c>
      <c r="E12" t="s">
        <v>29</v>
      </c>
      <c r="F12" s="74" t="s">
        <v>14</v>
      </c>
      <c r="G12" t="s">
        <v>30</v>
      </c>
      <c r="H12">
        <v>1</v>
      </c>
      <c r="I12">
        <v>1</v>
      </c>
      <c r="J12" t="s">
        <v>31</v>
      </c>
      <c r="K12" t="s">
        <v>31</v>
      </c>
      <c r="L12" t="s">
        <v>31</v>
      </c>
      <c r="M12" t="s">
        <v>31</v>
      </c>
    </row>
    <row r="13" spans="1:26" ht="15.6">
      <c r="A13" s="91" t="s">
        <v>1661</v>
      </c>
      <c r="B13">
        <f>Z13</f>
        <v>7.8E-2</v>
      </c>
      <c r="C13" t="s">
        <v>37</v>
      </c>
      <c r="D13" s="17" t="s">
        <v>2</v>
      </c>
      <c r="E13" t="s">
        <v>29</v>
      </c>
      <c r="F13" s="74" t="s">
        <v>14</v>
      </c>
      <c r="G13" t="s">
        <v>33</v>
      </c>
      <c r="H13">
        <v>1</v>
      </c>
      <c r="I13">
        <f>B13</f>
        <v>7.8E-2</v>
      </c>
      <c r="J13" t="s">
        <v>31</v>
      </c>
      <c r="K13" t="s">
        <v>31</v>
      </c>
      <c r="L13" t="s">
        <v>31</v>
      </c>
      <c r="M13" t="s">
        <v>31</v>
      </c>
      <c r="U13" s="92" t="s">
        <v>968</v>
      </c>
      <c r="V13" s="92" t="s">
        <v>580</v>
      </c>
      <c r="W13" s="93">
        <v>78</v>
      </c>
      <c r="Y13" t="s">
        <v>241</v>
      </c>
      <c r="Z13">
        <f>0.001*W13</f>
        <v>7.8E-2</v>
      </c>
    </row>
    <row r="14" spans="1:26" ht="15.6">
      <c r="A14" s="91" t="s">
        <v>1666</v>
      </c>
      <c r="B14">
        <f t="shared" ref="B14:B21" si="0">Z14</f>
        <v>9.8000000000000004E-2</v>
      </c>
      <c r="C14" t="s">
        <v>37</v>
      </c>
      <c r="D14" s="17" t="s">
        <v>2</v>
      </c>
      <c r="E14" t="s">
        <v>29</v>
      </c>
      <c r="F14" s="74" t="s">
        <v>14</v>
      </c>
      <c r="G14" t="s">
        <v>33</v>
      </c>
      <c r="H14">
        <v>1</v>
      </c>
      <c r="I14">
        <f t="shared" ref="I14:I30" si="1">B14</f>
        <v>9.8000000000000004E-2</v>
      </c>
      <c r="J14" t="s">
        <v>31</v>
      </c>
      <c r="K14" t="s">
        <v>31</v>
      </c>
      <c r="L14" t="s">
        <v>31</v>
      </c>
      <c r="M14" t="s">
        <v>31</v>
      </c>
      <c r="U14" s="92" t="s">
        <v>969</v>
      </c>
      <c r="V14" s="92" t="s">
        <v>580</v>
      </c>
      <c r="W14" s="93">
        <v>98</v>
      </c>
      <c r="Y14" t="s">
        <v>241</v>
      </c>
      <c r="Z14">
        <f>0.001*W14</f>
        <v>9.8000000000000004E-2</v>
      </c>
    </row>
    <row r="15" spans="1:26" ht="15.6">
      <c r="A15" s="94" t="s">
        <v>835</v>
      </c>
      <c r="B15">
        <f t="shared" si="0"/>
        <v>3.1</v>
      </c>
      <c r="C15" t="s">
        <v>37</v>
      </c>
      <c r="D15" s="17" t="s">
        <v>40</v>
      </c>
      <c r="E15" t="s">
        <v>29</v>
      </c>
      <c r="F15" s="74" t="s">
        <v>59</v>
      </c>
      <c r="G15" t="s">
        <v>33</v>
      </c>
      <c r="H15">
        <v>1</v>
      </c>
      <c r="I15">
        <f t="shared" si="1"/>
        <v>3.1</v>
      </c>
      <c r="J15" t="s">
        <v>31</v>
      </c>
      <c r="K15" t="s">
        <v>31</v>
      </c>
      <c r="L15" t="s">
        <v>31</v>
      </c>
      <c r="M15" t="s">
        <v>31</v>
      </c>
      <c r="U15" s="92" t="s">
        <v>970</v>
      </c>
      <c r="V15" s="92" t="s">
        <v>241</v>
      </c>
      <c r="W15" s="93">
        <v>3.1</v>
      </c>
      <c r="Y15" t="s">
        <v>241</v>
      </c>
      <c r="Z15">
        <f>W15</f>
        <v>3.1</v>
      </c>
    </row>
    <row r="16" spans="1:26" ht="15.6">
      <c r="A16" s="91" t="s">
        <v>1675</v>
      </c>
      <c r="B16">
        <f t="shared" si="0"/>
        <v>2.7</v>
      </c>
      <c r="C16" t="s">
        <v>37</v>
      </c>
      <c r="D16" s="17" t="s">
        <v>2</v>
      </c>
      <c r="E16" t="s">
        <v>29</v>
      </c>
      <c r="F16" s="74" t="s">
        <v>14</v>
      </c>
      <c r="G16" t="s">
        <v>33</v>
      </c>
      <c r="H16">
        <v>1</v>
      </c>
      <c r="I16">
        <f t="shared" si="1"/>
        <v>2.7</v>
      </c>
      <c r="J16" t="s">
        <v>31</v>
      </c>
      <c r="K16" t="s">
        <v>31</v>
      </c>
      <c r="L16" t="s">
        <v>31</v>
      </c>
      <c r="M16" t="s">
        <v>31</v>
      </c>
      <c r="U16" s="92" t="s">
        <v>972</v>
      </c>
      <c r="V16" s="92" t="s">
        <v>241</v>
      </c>
      <c r="W16" s="93">
        <v>2.7</v>
      </c>
      <c r="Y16" t="s">
        <v>241</v>
      </c>
      <c r="Z16">
        <f>W16</f>
        <v>2.7</v>
      </c>
    </row>
    <row r="17" spans="1:29" ht="15.6">
      <c r="A17" s="95" t="s">
        <v>1676</v>
      </c>
      <c r="B17">
        <f t="shared" si="0"/>
        <v>4.3749999999999997E-2</v>
      </c>
      <c r="C17" t="s">
        <v>609</v>
      </c>
      <c r="D17" s="17" t="s">
        <v>2</v>
      </c>
      <c r="E17" t="s">
        <v>29</v>
      </c>
      <c r="F17" s="74" t="s">
        <v>14</v>
      </c>
      <c r="G17" t="s">
        <v>33</v>
      </c>
      <c r="H17">
        <v>1</v>
      </c>
      <c r="I17">
        <f t="shared" si="1"/>
        <v>4.3749999999999997E-2</v>
      </c>
      <c r="J17" t="s">
        <v>31</v>
      </c>
      <c r="K17" t="s">
        <v>31</v>
      </c>
      <c r="L17" t="s">
        <v>31</v>
      </c>
      <c r="M17" t="s">
        <v>31</v>
      </c>
      <c r="O17" t="s">
        <v>974</v>
      </c>
      <c r="U17" s="96" t="s">
        <v>975</v>
      </c>
      <c r="V17" s="96" t="s">
        <v>580</v>
      </c>
      <c r="W17" s="93">
        <v>245</v>
      </c>
      <c r="Y17" t="s">
        <v>610</v>
      </c>
      <c r="Z17">
        <f>W17*0.001/AB17</f>
        <v>4.3749999999999997E-2</v>
      </c>
      <c r="AB17">
        <f>A.Reused!O36</f>
        <v>5.6000000000000005</v>
      </c>
      <c r="AC17" t="s">
        <v>891</v>
      </c>
    </row>
    <row r="18" spans="1:29" ht="15.6">
      <c r="A18" s="91" t="s">
        <v>1677</v>
      </c>
      <c r="B18">
        <f t="shared" si="0"/>
        <v>1.115</v>
      </c>
      <c r="C18" t="s">
        <v>37</v>
      </c>
      <c r="D18" s="17" t="s">
        <v>2</v>
      </c>
      <c r="E18" t="s">
        <v>29</v>
      </c>
      <c r="F18" s="74" t="s">
        <v>14</v>
      </c>
      <c r="G18" t="s">
        <v>33</v>
      </c>
      <c r="H18">
        <v>1</v>
      </c>
      <c r="I18">
        <f t="shared" si="1"/>
        <v>1.115</v>
      </c>
      <c r="J18" t="s">
        <v>31</v>
      </c>
      <c r="K18" t="s">
        <v>31</v>
      </c>
      <c r="L18" t="s">
        <v>31</v>
      </c>
      <c r="M18" t="s">
        <v>31</v>
      </c>
      <c r="U18" s="96" t="s">
        <v>977</v>
      </c>
      <c r="V18" s="92" t="s">
        <v>580</v>
      </c>
      <c r="W18" s="93">
        <v>1115</v>
      </c>
      <c r="Y18" t="s">
        <v>241</v>
      </c>
      <c r="Z18">
        <f>0.001*W18</f>
        <v>1.115</v>
      </c>
    </row>
    <row r="19" spans="1:29" ht="15.6">
      <c r="A19" s="97" t="s">
        <v>840</v>
      </c>
      <c r="B19">
        <f t="shared" si="0"/>
        <v>6.0000000000000001E-3</v>
      </c>
      <c r="C19" t="s">
        <v>37</v>
      </c>
      <c r="D19" s="17" t="s">
        <v>40</v>
      </c>
      <c r="E19" t="s">
        <v>29</v>
      </c>
      <c r="F19" s="74" t="s">
        <v>35</v>
      </c>
      <c r="G19" t="s">
        <v>33</v>
      </c>
      <c r="H19">
        <v>1</v>
      </c>
      <c r="I19">
        <f t="shared" si="1"/>
        <v>6.0000000000000001E-3</v>
      </c>
      <c r="J19" t="s">
        <v>31</v>
      </c>
      <c r="K19" t="s">
        <v>31</v>
      </c>
      <c r="L19" t="s">
        <v>31</v>
      </c>
      <c r="M19" t="s">
        <v>31</v>
      </c>
      <c r="N19" s="76" t="s">
        <v>841</v>
      </c>
      <c r="U19" s="92" t="s">
        <v>841</v>
      </c>
      <c r="V19" s="92" t="s">
        <v>580</v>
      </c>
      <c r="W19" s="93">
        <v>6</v>
      </c>
      <c r="Y19" t="s">
        <v>241</v>
      </c>
      <c r="Z19">
        <f>0.001*W19</f>
        <v>6.0000000000000001E-3</v>
      </c>
    </row>
    <row r="20" spans="1:29" ht="15.6">
      <c r="A20" s="98" t="s">
        <v>179</v>
      </c>
      <c r="B20">
        <f t="shared" si="0"/>
        <v>3.5000000000000003E-2</v>
      </c>
      <c r="C20" t="s">
        <v>37</v>
      </c>
      <c r="D20" s="17" t="s">
        <v>40</v>
      </c>
      <c r="E20" t="s">
        <v>29</v>
      </c>
      <c r="F20" s="74" t="s">
        <v>35</v>
      </c>
      <c r="G20" t="s">
        <v>33</v>
      </c>
      <c r="H20">
        <v>1</v>
      </c>
      <c r="I20">
        <f t="shared" si="1"/>
        <v>3.5000000000000003E-2</v>
      </c>
      <c r="J20" t="s">
        <v>31</v>
      </c>
      <c r="K20" t="s">
        <v>31</v>
      </c>
      <c r="L20" t="s">
        <v>31</v>
      </c>
      <c r="M20" t="s">
        <v>31</v>
      </c>
      <c r="N20" s="76" t="s">
        <v>842</v>
      </c>
      <c r="U20" s="96" t="s">
        <v>842</v>
      </c>
      <c r="V20" s="92" t="s">
        <v>580</v>
      </c>
      <c r="W20" s="93">
        <v>35</v>
      </c>
      <c r="Y20" t="s">
        <v>241</v>
      </c>
      <c r="Z20">
        <f t="shared" ref="Z20:Z22" si="2">0.001*W20</f>
        <v>3.5000000000000003E-2</v>
      </c>
    </row>
    <row r="21" spans="1:29" ht="15.6">
      <c r="A21" s="97" t="s">
        <v>840</v>
      </c>
      <c r="B21">
        <f t="shared" si="0"/>
        <v>2E-3</v>
      </c>
      <c r="C21" t="s">
        <v>37</v>
      </c>
      <c r="D21" s="17" t="s">
        <v>40</v>
      </c>
      <c r="E21" t="s">
        <v>29</v>
      </c>
      <c r="F21" s="74" t="s">
        <v>35</v>
      </c>
      <c r="G21" t="s">
        <v>33</v>
      </c>
      <c r="H21">
        <v>1</v>
      </c>
      <c r="I21">
        <f t="shared" si="1"/>
        <v>2E-3</v>
      </c>
      <c r="J21" t="s">
        <v>31</v>
      </c>
      <c r="K21" t="s">
        <v>31</v>
      </c>
      <c r="L21" t="s">
        <v>31</v>
      </c>
      <c r="M21" t="s">
        <v>31</v>
      </c>
      <c r="N21" s="76" t="s">
        <v>843</v>
      </c>
      <c r="U21" s="96" t="s">
        <v>843</v>
      </c>
      <c r="V21" s="92" t="s">
        <v>580</v>
      </c>
      <c r="W21" s="93">
        <v>2</v>
      </c>
      <c r="Y21" t="s">
        <v>241</v>
      </c>
      <c r="Z21">
        <f t="shared" si="2"/>
        <v>2E-3</v>
      </c>
    </row>
    <row r="22" spans="1:29" ht="15.6">
      <c r="A22" s="98" t="s">
        <v>978</v>
      </c>
      <c r="B22">
        <f>Z21</f>
        <v>2E-3</v>
      </c>
      <c r="C22" t="s">
        <v>37</v>
      </c>
      <c r="D22" s="17" t="s">
        <v>40</v>
      </c>
      <c r="E22" t="s">
        <v>29</v>
      </c>
      <c r="F22" s="74" t="s">
        <v>35</v>
      </c>
      <c r="G22" t="s">
        <v>33</v>
      </c>
      <c r="H22">
        <v>1</v>
      </c>
      <c r="I22">
        <f t="shared" si="1"/>
        <v>2E-3</v>
      </c>
      <c r="J22" t="s">
        <v>31</v>
      </c>
      <c r="K22" t="s">
        <v>31</v>
      </c>
      <c r="L22" t="s">
        <v>31</v>
      </c>
      <c r="M22" t="s">
        <v>31</v>
      </c>
      <c r="N22" s="76" t="s">
        <v>843</v>
      </c>
      <c r="U22" s="96" t="s">
        <v>843</v>
      </c>
      <c r="V22" s="92" t="s">
        <v>580</v>
      </c>
      <c r="W22" s="93">
        <v>2</v>
      </c>
      <c r="Y22" t="s">
        <v>241</v>
      </c>
      <c r="Z22">
        <f t="shared" si="2"/>
        <v>2E-3</v>
      </c>
    </row>
    <row r="23" spans="1:29" ht="15.6">
      <c r="A23" s="94" t="s">
        <v>1678</v>
      </c>
      <c r="B23">
        <f t="shared" ref="B23:B27" si="3">Z22</f>
        <v>2E-3</v>
      </c>
      <c r="C23" t="s">
        <v>37</v>
      </c>
      <c r="D23" s="17" t="s">
        <v>2</v>
      </c>
      <c r="E23" t="s">
        <v>29</v>
      </c>
      <c r="F23" s="74" t="s">
        <v>14</v>
      </c>
      <c r="G23" t="s">
        <v>33</v>
      </c>
      <c r="H23">
        <v>1</v>
      </c>
      <c r="I23">
        <f t="shared" si="1"/>
        <v>2E-3</v>
      </c>
      <c r="J23" t="s">
        <v>31</v>
      </c>
      <c r="K23" t="s">
        <v>31</v>
      </c>
      <c r="L23" t="s">
        <v>31</v>
      </c>
      <c r="M23" t="s">
        <v>31</v>
      </c>
      <c r="N23" s="76" t="s">
        <v>1678</v>
      </c>
      <c r="U23" s="92" t="s">
        <v>1678</v>
      </c>
      <c r="V23" s="92" t="s">
        <v>241</v>
      </c>
      <c r="W23" s="93">
        <v>2.78</v>
      </c>
      <c r="Y23" t="s">
        <v>241</v>
      </c>
      <c r="Z23">
        <f>W23</f>
        <v>2.78</v>
      </c>
    </row>
    <row r="24" spans="1:29" ht="15.6">
      <c r="A24" s="91" t="s">
        <v>1679</v>
      </c>
      <c r="B24">
        <f t="shared" si="3"/>
        <v>2.78</v>
      </c>
      <c r="C24" t="s">
        <v>37</v>
      </c>
      <c r="D24" s="17" t="s">
        <v>2</v>
      </c>
      <c r="E24" t="s">
        <v>29</v>
      </c>
      <c r="F24" s="74" t="s">
        <v>14</v>
      </c>
      <c r="G24" t="s">
        <v>33</v>
      </c>
      <c r="H24">
        <v>1</v>
      </c>
      <c r="I24">
        <f t="shared" si="1"/>
        <v>2.78</v>
      </c>
      <c r="J24" t="s">
        <v>31</v>
      </c>
      <c r="K24" t="s">
        <v>31</v>
      </c>
      <c r="L24" t="s">
        <v>31</v>
      </c>
      <c r="M24" t="s">
        <v>31</v>
      </c>
      <c r="N24" s="76"/>
      <c r="U24" s="92" t="s">
        <v>982</v>
      </c>
      <c r="V24" s="99" t="s">
        <v>241</v>
      </c>
      <c r="W24" s="93">
        <v>7.42</v>
      </c>
      <c r="Y24" t="s">
        <v>241</v>
      </c>
      <c r="Z24">
        <f>W24</f>
        <v>7.42</v>
      </c>
    </row>
    <row r="25" spans="1:29" ht="15.6">
      <c r="A25" s="100" t="s">
        <v>848</v>
      </c>
      <c r="B25" s="23">
        <f>'A. Machined casing'!B7</f>
        <v>7.35</v>
      </c>
      <c r="C25" t="s">
        <v>37</v>
      </c>
      <c r="D25" s="17" t="s">
        <v>40</v>
      </c>
      <c r="E25" t="s">
        <v>29</v>
      </c>
      <c r="F25" s="74" t="s">
        <v>82</v>
      </c>
      <c r="G25" t="s">
        <v>33</v>
      </c>
      <c r="H25">
        <v>1</v>
      </c>
      <c r="I25">
        <f t="shared" si="1"/>
        <v>7.35</v>
      </c>
      <c r="J25" t="s">
        <v>31</v>
      </c>
      <c r="K25" t="s">
        <v>31</v>
      </c>
      <c r="L25" t="s">
        <v>31</v>
      </c>
      <c r="M25" t="s">
        <v>31</v>
      </c>
      <c r="N25" s="76" t="s">
        <v>849</v>
      </c>
      <c r="U25" s="101" t="s">
        <v>849</v>
      </c>
      <c r="V25" s="101" t="s">
        <v>580</v>
      </c>
      <c r="W25" s="102">
        <v>49</v>
      </c>
      <c r="Y25" t="s">
        <v>241</v>
      </c>
      <c r="Z25">
        <f>0.001*W25</f>
        <v>4.9000000000000002E-2</v>
      </c>
    </row>
    <row r="26" spans="1:29" ht="15.6">
      <c r="A26" s="100" t="s">
        <v>850</v>
      </c>
      <c r="B26">
        <f>Z25</f>
        <v>4.9000000000000002E-2</v>
      </c>
      <c r="C26" t="s">
        <v>37</v>
      </c>
      <c r="D26" s="17" t="s">
        <v>40</v>
      </c>
      <c r="E26" t="s">
        <v>29</v>
      </c>
      <c r="F26" s="74" t="s">
        <v>59</v>
      </c>
      <c r="G26" t="s">
        <v>33</v>
      </c>
      <c r="H26">
        <v>1</v>
      </c>
      <c r="I26">
        <f t="shared" si="1"/>
        <v>4.9000000000000002E-2</v>
      </c>
      <c r="J26" t="s">
        <v>31</v>
      </c>
      <c r="K26" t="s">
        <v>31</v>
      </c>
      <c r="L26" t="s">
        <v>31</v>
      </c>
      <c r="M26" t="s">
        <v>31</v>
      </c>
      <c r="N26" t="s">
        <v>851</v>
      </c>
      <c r="U26" s="101" t="s">
        <v>851</v>
      </c>
      <c r="V26" s="101" t="s">
        <v>580</v>
      </c>
      <c r="W26" s="102">
        <v>11</v>
      </c>
      <c r="Y26" t="s">
        <v>241</v>
      </c>
      <c r="Z26">
        <f>0.001*W26</f>
        <v>1.0999999999999999E-2</v>
      </c>
    </row>
    <row r="27" spans="1:29" ht="15.6">
      <c r="A27" s="100" t="s">
        <v>179</v>
      </c>
      <c r="B27">
        <f t="shared" si="3"/>
        <v>1.0999999999999999E-2</v>
      </c>
      <c r="C27" t="s">
        <v>37</v>
      </c>
      <c r="D27" s="17" t="s">
        <v>40</v>
      </c>
      <c r="E27" t="s">
        <v>29</v>
      </c>
      <c r="F27" s="74" t="s">
        <v>35</v>
      </c>
      <c r="G27" t="s">
        <v>33</v>
      </c>
      <c r="H27">
        <v>1</v>
      </c>
      <c r="I27">
        <f t="shared" si="1"/>
        <v>1.0999999999999999E-2</v>
      </c>
      <c r="J27" t="s">
        <v>31</v>
      </c>
      <c r="K27" t="s">
        <v>31</v>
      </c>
      <c r="L27" t="s">
        <v>31</v>
      </c>
      <c r="M27" t="s">
        <v>31</v>
      </c>
      <c r="N27" t="s">
        <v>852</v>
      </c>
      <c r="U27" s="101" t="s">
        <v>852</v>
      </c>
      <c r="V27" s="101" t="s">
        <v>580</v>
      </c>
      <c r="W27" s="102">
        <v>11</v>
      </c>
      <c r="Y27" t="s">
        <v>241</v>
      </c>
      <c r="Z27">
        <f>0.001*W27</f>
        <v>1.0999999999999999E-2</v>
      </c>
    </row>
    <row r="28" spans="1:29" ht="15.6">
      <c r="A28" s="103" t="s">
        <v>38</v>
      </c>
      <c r="B28">
        <f>1.1+0.6</f>
        <v>1.7000000000000002</v>
      </c>
      <c r="C28" t="s">
        <v>39</v>
      </c>
      <c r="D28" s="17" t="s">
        <v>40</v>
      </c>
      <c r="E28" t="s">
        <v>29</v>
      </c>
      <c r="F28" t="s">
        <v>14</v>
      </c>
      <c r="G28" t="s">
        <v>33</v>
      </c>
      <c r="H28">
        <v>1</v>
      </c>
      <c r="I28">
        <f t="shared" si="1"/>
        <v>1.7000000000000002</v>
      </c>
      <c r="J28" t="s">
        <v>31</v>
      </c>
      <c r="K28" t="s">
        <v>31</v>
      </c>
      <c r="L28" t="s">
        <v>31</v>
      </c>
      <c r="M28" t="s">
        <v>31</v>
      </c>
      <c r="N28" t="s">
        <v>983</v>
      </c>
      <c r="U28" s="92"/>
      <c r="V28" s="99"/>
      <c r="W28" s="93"/>
    </row>
    <row r="29" spans="1:29" ht="15.6">
      <c r="A29" s="103" t="s">
        <v>38</v>
      </c>
      <c r="B29">
        <v>4.2</v>
      </c>
      <c r="C29" t="s">
        <v>39</v>
      </c>
      <c r="D29" s="17" t="s">
        <v>40</v>
      </c>
      <c r="E29" t="s">
        <v>29</v>
      </c>
      <c r="F29" t="s">
        <v>14</v>
      </c>
      <c r="G29" t="s">
        <v>33</v>
      </c>
      <c r="H29">
        <v>1</v>
      </c>
      <c r="I29">
        <f t="shared" si="1"/>
        <v>4.2</v>
      </c>
      <c r="J29" t="s">
        <v>31</v>
      </c>
      <c r="K29" t="s">
        <v>31</v>
      </c>
      <c r="L29" t="s">
        <v>31</v>
      </c>
      <c r="M29" t="s">
        <v>31</v>
      </c>
      <c r="N29" t="s">
        <v>854</v>
      </c>
    </row>
    <row r="30" spans="1:29" ht="15.6">
      <c r="A30" s="103" t="s">
        <v>38</v>
      </c>
      <c r="B30">
        <v>1.5</v>
      </c>
      <c r="C30" t="s">
        <v>39</v>
      </c>
      <c r="D30" s="17" t="s">
        <v>40</v>
      </c>
      <c r="E30" t="s">
        <v>29</v>
      </c>
      <c r="F30" t="s">
        <v>14</v>
      </c>
      <c r="G30" t="s">
        <v>33</v>
      </c>
      <c r="H30">
        <v>1</v>
      </c>
      <c r="I30">
        <f t="shared" si="1"/>
        <v>1.5</v>
      </c>
      <c r="J30" t="s">
        <v>31</v>
      </c>
      <c r="K30" t="s">
        <v>31</v>
      </c>
      <c r="L30" t="s">
        <v>31</v>
      </c>
      <c r="M30" t="s">
        <v>31</v>
      </c>
      <c r="N30" t="s">
        <v>855</v>
      </c>
    </row>
    <row r="31" spans="1:29" ht="15.6">
      <c r="A31" s="67"/>
      <c r="B31" s="68"/>
      <c r="C31" s="69"/>
      <c r="D31" s="70"/>
      <c r="E31" s="70"/>
      <c r="F31" s="70"/>
      <c r="G31" s="70"/>
      <c r="H31" s="70"/>
      <c r="I31" s="70"/>
      <c r="J31" s="70"/>
      <c r="K31" s="70"/>
      <c r="L31" s="70"/>
      <c r="M31" s="70"/>
    </row>
    <row r="32" spans="1:29">
      <c r="A32" s="71"/>
      <c r="C32" s="72"/>
      <c r="N32" s="104" t="s">
        <v>1680</v>
      </c>
    </row>
    <row r="33" spans="1:14">
      <c r="A33" s="71"/>
      <c r="C33" s="72"/>
      <c r="N33" s="104">
        <f>SUM(B13:B27)-B17+0.245</f>
        <v>17.573</v>
      </c>
    </row>
    <row r="34" spans="1:14">
      <c r="A34" s="71"/>
      <c r="B34" s="73"/>
    </row>
    <row r="35" spans="1:14" ht="15.6">
      <c r="A35" s="76"/>
      <c r="D35" s="17"/>
      <c r="F35" s="74"/>
    </row>
    <row r="36" spans="1:14" ht="15.6">
      <c r="D36" s="17"/>
      <c r="F36" s="74"/>
    </row>
    <row r="37" spans="1:14" ht="15.6">
      <c r="A37" s="76"/>
      <c r="D37" s="17"/>
      <c r="F37" s="74"/>
    </row>
    <row r="38" spans="1:14" ht="15.6">
      <c r="A38" s="76"/>
      <c r="D38" s="17"/>
      <c r="F38" s="74"/>
    </row>
    <row r="39" spans="1:14" ht="15.6">
      <c r="A39" s="17"/>
      <c r="D39" s="17"/>
      <c r="F39" s="74"/>
    </row>
    <row r="40" spans="1:14" ht="15.6">
      <c r="A40" s="17"/>
      <c r="D40" s="17"/>
    </row>
    <row r="41" spans="1:14" ht="15.6">
      <c r="A41" s="76"/>
      <c r="D41" s="17"/>
    </row>
  </sheetData>
  <pageMargins left="0.7" right="0.7" top="0.75" bottom="0.75" header="0.3" footer="0.3"/>
  <pageSetup paperSize="9" orientation="portrai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5B972-9E06-4496-988E-064F0F643FAE}">
  <sheetPr>
    <tabColor theme="5" tint="0.79998168889431442"/>
  </sheetPr>
  <dimension ref="A1:U104"/>
  <sheetViews>
    <sheetView topLeftCell="A71" zoomScale="85" zoomScaleNormal="85" workbookViewId="0">
      <selection activeCell="B5" sqref="B5"/>
    </sheetView>
  </sheetViews>
  <sheetFormatPr defaultRowHeight="14.45"/>
  <cols>
    <col min="1" max="1" width="52.42578125" style="22" customWidth="1"/>
    <col min="2" max="2" width="17.5703125" customWidth="1"/>
    <col min="3" max="3" width="13.7109375" customWidth="1"/>
    <col min="4" max="4" width="39.85546875" customWidth="1"/>
    <col min="7" max="7" width="14.85546875" customWidth="1"/>
    <col min="17" max="17" width="11.28515625" bestFit="1" customWidth="1"/>
  </cols>
  <sheetData>
    <row r="1" spans="1:21">
      <c r="A1" s="22" t="s">
        <v>0</v>
      </c>
      <c r="B1">
        <v>13</v>
      </c>
    </row>
    <row r="2" spans="1:21" ht="15.6">
      <c r="A2" s="105" t="s">
        <v>5</v>
      </c>
      <c r="B2" s="106" t="s">
        <v>1676</v>
      </c>
      <c r="C2" s="69"/>
      <c r="D2" s="70"/>
      <c r="E2" s="70"/>
      <c r="F2" s="70"/>
      <c r="G2" s="70"/>
      <c r="H2" s="70"/>
      <c r="I2" s="70"/>
      <c r="J2" s="70"/>
      <c r="K2" s="70"/>
      <c r="L2" s="70"/>
      <c r="M2" s="70"/>
      <c r="N2" s="70"/>
      <c r="O2" s="70"/>
      <c r="P2" s="70"/>
      <c r="Q2" s="70"/>
      <c r="R2" s="70"/>
    </row>
    <row r="3" spans="1:21">
      <c r="A3" s="107" t="s">
        <v>7</v>
      </c>
      <c r="B3" t="s">
        <v>1654</v>
      </c>
      <c r="C3" s="72"/>
    </row>
    <row r="4" spans="1:21">
      <c r="A4" s="107" t="s">
        <v>9</v>
      </c>
      <c r="B4" t="s">
        <v>1681</v>
      </c>
      <c r="C4" s="72"/>
      <c r="U4" s="84"/>
    </row>
    <row r="5" spans="1:21" ht="12.75" customHeight="1">
      <c r="A5" s="107" t="s">
        <v>11</v>
      </c>
      <c r="B5" s="73" t="s">
        <v>796</v>
      </c>
    </row>
    <row r="6" spans="1:21">
      <c r="A6" s="107" t="s">
        <v>13</v>
      </c>
      <c r="B6" t="s">
        <v>14</v>
      </c>
    </row>
    <row r="7" spans="1:21">
      <c r="A7" s="107" t="s">
        <v>15</v>
      </c>
      <c r="B7">
        <f>B12</f>
        <v>1.2999999999999999E-2</v>
      </c>
    </row>
    <row r="8" spans="1:21">
      <c r="A8" s="107" t="s">
        <v>16</v>
      </c>
      <c r="B8" t="s">
        <v>17</v>
      </c>
    </row>
    <row r="9" spans="1:21">
      <c r="A9" s="107" t="s">
        <v>18</v>
      </c>
      <c r="B9" t="s">
        <v>609</v>
      </c>
    </row>
    <row r="10" spans="1:21" ht="15.6">
      <c r="A10" s="108" t="s">
        <v>19</v>
      </c>
    </row>
    <row r="11" spans="1:21" ht="15.6">
      <c r="A11" s="108"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6">
      <c r="A12" s="22" t="s">
        <v>1676</v>
      </c>
      <c r="B12">
        <v>1.2999999999999999E-2</v>
      </c>
      <c r="C12" t="s">
        <v>609</v>
      </c>
      <c r="D12" s="109" t="s">
        <v>2</v>
      </c>
      <c r="E12" t="s">
        <v>29</v>
      </c>
      <c r="F12" s="74" t="s">
        <v>14</v>
      </c>
      <c r="G12" t="s">
        <v>30</v>
      </c>
      <c r="H12">
        <v>1</v>
      </c>
      <c r="I12">
        <f>B12</f>
        <v>1.2999999999999999E-2</v>
      </c>
      <c r="J12" t="s">
        <v>31</v>
      </c>
      <c r="K12" t="s">
        <v>31</v>
      </c>
      <c r="L12" t="s">
        <v>31</v>
      </c>
      <c r="M12" t="s">
        <v>31</v>
      </c>
      <c r="O12" s="110"/>
      <c r="P12" s="111"/>
    </row>
    <row r="13" spans="1:21" ht="15.6">
      <c r="A13" s="22" t="s">
        <v>1682</v>
      </c>
      <c r="B13">
        <f>R13</f>
        <v>7.2800000000000004E-2</v>
      </c>
      <c r="C13" t="s">
        <v>37</v>
      </c>
      <c r="D13" s="109" t="s">
        <v>2</v>
      </c>
      <c r="E13" t="s">
        <v>29</v>
      </c>
      <c r="F13" s="74" t="s">
        <v>14</v>
      </c>
      <c r="G13" t="s">
        <v>33</v>
      </c>
      <c r="H13">
        <v>1</v>
      </c>
      <c r="I13">
        <f t="shared" ref="I13:I14" si="0">B13</f>
        <v>7.2800000000000004E-2</v>
      </c>
      <c r="J13" t="s">
        <v>31</v>
      </c>
      <c r="K13" t="s">
        <v>31</v>
      </c>
      <c r="L13" t="s">
        <v>31</v>
      </c>
      <c r="M13" t="s">
        <v>31</v>
      </c>
      <c r="O13" s="104" t="s">
        <v>1683</v>
      </c>
      <c r="P13">
        <f>O36</f>
        <v>5.6000000000000005</v>
      </c>
      <c r="Q13" t="s">
        <v>891</v>
      </c>
      <c r="R13">
        <f>P13*B12</f>
        <v>7.2800000000000004E-2</v>
      </c>
    </row>
    <row r="14" spans="1:21" ht="15.6">
      <c r="A14" s="22" t="s">
        <v>1684</v>
      </c>
      <c r="B14">
        <v>1.2999999999999999E-2</v>
      </c>
      <c r="C14" t="s">
        <v>609</v>
      </c>
      <c r="D14" s="109" t="s">
        <v>2</v>
      </c>
      <c r="E14" t="s">
        <v>29</v>
      </c>
      <c r="F14" s="74" t="s">
        <v>14</v>
      </c>
      <c r="G14" t="s">
        <v>33</v>
      </c>
      <c r="H14">
        <v>1</v>
      </c>
      <c r="I14">
        <f t="shared" si="0"/>
        <v>1.2999999999999999E-2</v>
      </c>
      <c r="J14" t="s">
        <v>31</v>
      </c>
      <c r="K14" t="s">
        <v>31</v>
      </c>
      <c r="L14" t="s">
        <v>31</v>
      </c>
      <c r="M14" t="s">
        <v>31</v>
      </c>
    </row>
    <row r="15" spans="1:21" ht="15.6">
      <c r="A15" s="112" t="s">
        <v>799</v>
      </c>
      <c r="B15">
        <f>P15</f>
        <v>0.1</v>
      </c>
      <c r="C15" t="s">
        <v>37</v>
      </c>
      <c r="D15" s="17" t="s">
        <v>40</v>
      </c>
      <c r="E15" t="s">
        <v>29</v>
      </c>
      <c r="F15" s="74" t="s">
        <v>74</v>
      </c>
      <c r="G15" t="s">
        <v>33</v>
      </c>
      <c r="H15">
        <v>2</v>
      </c>
      <c r="I15">
        <f>LN(B15)</f>
        <v>-2.3025850929940455</v>
      </c>
      <c r="J15" s="113">
        <v>0.11236102527122109</v>
      </c>
      <c r="K15" t="s">
        <v>31</v>
      </c>
      <c r="L15" t="s">
        <v>31</v>
      </c>
      <c r="M15" t="s">
        <v>31</v>
      </c>
      <c r="O15" s="101" t="s">
        <v>241</v>
      </c>
      <c r="P15" s="114">
        <v>0.1</v>
      </c>
    </row>
    <row r="16" spans="1:21" ht="15.6">
      <c r="A16" s="112" t="s">
        <v>862</v>
      </c>
      <c r="B16" s="115">
        <f>Q16</f>
        <v>5.0000000000000001E-9</v>
      </c>
      <c r="C16" t="s">
        <v>37</v>
      </c>
      <c r="D16" s="17" t="s">
        <v>40</v>
      </c>
      <c r="E16" t="s">
        <v>29</v>
      </c>
      <c r="F16" s="74" t="s">
        <v>59</v>
      </c>
      <c r="G16" t="s">
        <v>33</v>
      </c>
      <c r="H16">
        <v>2</v>
      </c>
      <c r="I16">
        <f t="shared" ref="I16:I17" si="1">LN(B16)</f>
        <v>-19.113827924512311</v>
      </c>
      <c r="J16" s="113">
        <v>0.11236102527122109</v>
      </c>
      <c r="K16" t="s">
        <v>31</v>
      </c>
      <c r="L16" t="s">
        <v>31</v>
      </c>
      <c r="M16" t="s">
        <v>31</v>
      </c>
      <c r="O16" s="116" t="s">
        <v>538</v>
      </c>
      <c r="P16" s="117">
        <v>5.0000000000000001E-3</v>
      </c>
      <c r="Q16" s="115">
        <f>P16*10^(-6)</f>
        <v>5.0000000000000001E-9</v>
      </c>
      <c r="R16" t="s">
        <v>37</v>
      </c>
    </row>
    <row r="17" spans="1:18" ht="15.6">
      <c r="A17" s="112" t="s">
        <v>76</v>
      </c>
      <c r="B17">
        <f>Q17</f>
        <v>1E-4</v>
      </c>
      <c r="C17" t="s">
        <v>42</v>
      </c>
      <c r="D17" s="17" t="s">
        <v>40</v>
      </c>
      <c r="E17" t="s">
        <v>29</v>
      </c>
      <c r="F17" s="74" t="s">
        <v>74</v>
      </c>
      <c r="G17" t="s">
        <v>33</v>
      </c>
      <c r="H17">
        <v>2</v>
      </c>
      <c r="I17">
        <f t="shared" si="1"/>
        <v>-9.2103403719761818</v>
      </c>
      <c r="J17" s="113">
        <v>0.11236102527122109</v>
      </c>
      <c r="K17" t="s">
        <v>31</v>
      </c>
      <c r="L17" t="s">
        <v>31</v>
      </c>
      <c r="M17" t="s">
        <v>31</v>
      </c>
      <c r="O17" s="118" t="s">
        <v>863</v>
      </c>
      <c r="P17" s="119">
        <v>0.1</v>
      </c>
      <c r="Q17">
        <f>P17/1000</f>
        <v>1E-4</v>
      </c>
      <c r="R17" t="s">
        <v>864</v>
      </c>
    </row>
    <row r="18" spans="1:18" ht="15.6">
      <c r="A18" s="105" t="s">
        <v>5</v>
      </c>
      <c r="B18" s="106" t="s">
        <v>1682</v>
      </c>
      <c r="C18" s="69"/>
      <c r="D18" s="70"/>
      <c r="E18" s="70"/>
      <c r="F18" s="70"/>
      <c r="G18" s="70"/>
      <c r="H18" s="70"/>
      <c r="I18" s="70"/>
      <c r="J18" s="70"/>
      <c r="K18" s="70"/>
      <c r="L18" s="70"/>
      <c r="M18" s="70"/>
      <c r="N18" s="70"/>
      <c r="O18" s="70"/>
      <c r="P18" s="70"/>
      <c r="Q18" s="70"/>
      <c r="R18" s="70"/>
    </row>
    <row r="19" spans="1:18">
      <c r="A19" s="107" t="s">
        <v>7</v>
      </c>
      <c r="B19" t="s">
        <v>1654</v>
      </c>
      <c r="C19" s="72"/>
    </row>
    <row r="20" spans="1:18">
      <c r="A20" s="107" t="s">
        <v>9</v>
      </c>
      <c r="B20" t="s">
        <v>1685</v>
      </c>
      <c r="C20" s="72"/>
    </row>
    <row r="21" spans="1:18" ht="10.5" customHeight="1">
      <c r="A21" s="107" t="s">
        <v>11</v>
      </c>
      <c r="B21" s="73" t="s">
        <v>796</v>
      </c>
      <c r="P21" s="120"/>
    </row>
    <row r="22" spans="1:18">
      <c r="A22" s="107" t="s">
        <v>13</v>
      </c>
      <c r="B22" t="s">
        <v>14</v>
      </c>
      <c r="P22" s="120"/>
    </row>
    <row r="23" spans="1:18">
      <c r="A23" s="107" t="s">
        <v>15</v>
      </c>
      <c r="B23">
        <f>B28</f>
        <v>6.0000000000000001E-3</v>
      </c>
      <c r="P23" s="120"/>
    </row>
    <row r="24" spans="1:18">
      <c r="A24" s="107" t="s">
        <v>16</v>
      </c>
      <c r="B24" t="s">
        <v>17</v>
      </c>
    </row>
    <row r="25" spans="1:18">
      <c r="A25" s="107" t="s">
        <v>18</v>
      </c>
      <c r="B25" t="s">
        <v>37</v>
      </c>
    </row>
    <row r="26" spans="1:18" ht="15.6">
      <c r="A26" s="108" t="s">
        <v>19</v>
      </c>
    </row>
    <row r="27" spans="1:18" ht="15.6">
      <c r="A27" s="108"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6">
      <c r="A28" s="22" t="s">
        <v>1682</v>
      </c>
      <c r="B28">
        <v>6.0000000000000001E-3</v>
      </c>
      <c r="C28" t="s">
        <v>37</v>
      </c>
      <c r="D28" s="109" t="s">
        <v>2</v>
      </c>
      <c r="E28" t="s">
        <v>29</v>
      </c>
      <c r="F28" s="74" t="s">
        <v>14</v>
      </c>
      <c r="G28" t="s">
        <v>30</v>
      </c>
      <c r="H28">
        <v>1</v>
      </c>
      <c r="I28">
        <f>B28</f>
        <v>6.0000000000000001E-3</v>
      </c>
      <c r="J28" t="s">
        <v>31</v>
      </c>
      <c r="K28" t="s">
        <v>31</v>
      </c>
      <c r="L28" t="s">
        <v>31</v>
      </c>
      <c r="M28" t="s">
        <v>31</v>
      </c>
    </row>
    <row r="29" spans="1:18" ht="15.6">
      <c r="A29" s="112" t="s">
        <v>862</v>
      </c>
      <c r="B29" s="115">
        <f>R29</f>
        <v>6.7000000000000002E-3</v>
      </c>
      <c r="C29" t="s">
        <v>37</v>
      </c>
      <c r="D29" s="17" t="s">
        <v>40</v>
      </c>
      <c r="E29" t="s">
        <v>29</v>
      </c>
      <c r="F29" s="74" t="s">
        <v>59</v>
      </c>
      <c r="G29" t="s">
        <v>33</v>
      </c>
      <c r="H29">
        <v>2</v>
      </c>
      <c r="I29">
        <f t="shared" ref="I29:I31" si="2">LN(B29)</f>
        <v>-5.005647752585217</v>
      </c>
      <c r="J29" s="113">
        <v>0.11236102527122109</v>
      </c>
      <c r="K29" t="s">
        <v>31</v>
      </c>
      <c r="L29" t="s">
        <v>31</v>
      </c>
      <c r="M29" t="s">
        <v>31</v>
      </c>
      <c r="O29" s="101" t="s">
        <v>580</v>
      </c>
      <c r="P29" s="114">
        <v>6.7</v>
      </c>
      <c r="Q29" t="s">
        <v>241</v>
      </c>
      <c r="R29">
        <f>P29*0.001</f>
        <v>6.7000000000000002E-3</v>
      </c>
    </row>
    <row r="30" spans="1:18" ht="15.6">
      <c r="A30" s="121" t="s">
        <v>38</v>
      </c>
      <c r="B30" s="122">
        <f>P30</f>
        <v>0.03</v>
      </c>
      <c r="C30" t="s">
        <v>39</v>
      </c>
      <c r="D30" s="17" t="s">
        <v>40</v>
      </c>
      <c r="E30" t="s">
        <v>29</v>
      </c>
      <c r="F30" s="74" t="s">
        <v>35</v>
      </c>
      <c r="G30" t="s">
        <v>33</v>
      </c>
      <c r="H30">
        <v>2</v>
      </c>
      <c r="I30">
        <f t="shared" si="2"/>
        <v>-3.5065578973199818</v>
      </c>
      <c r="J30" s="113">
        <v>0.11236102527122109</v>
      </c>
      <c r="K30" t="s">
        <v>31</v>
      </c>
      <c r="L30" t="s">
        <v>31</v>
      </c>
      <c r="M30" t="s">
        <v>31</v>
      </c>
      <c r="O30" s="101" t="s">
        <v>248</v>
      </c>
      <c r="P30" s="114">
        <v>0.03</v>
      </c>
    </row>
    <row r="31" spans="1:18" ht="15.6">
      <c r="A31" s="112" t="s">
        <v>866</v>
      </c>
      <c r="B31">
        <f>R31</f>
        <v>2.9999999999999997E-4</v>
      </c>
      <c r="C31" t="s">
        <v>37</v>
      </c>
      <c r="D31" s="17" t="s">
        <v>43</v>
      </c>
      <c r="E31" t="s">
        <v>867</v>
      </c>
      <c r="F31" s="74" t="s">
        <v>29</v>
      </c>
      <c r="G31" t="s">
        <v>45</v>
      </c>
      <c r="H31">
        <v>2</v>
      </c>
      <c r="I31">
        <f t="shared" si="2"/>
        <v>-8.1117280833080727</v>
      </c>
      <c r="J31" s="113">
        <v>0.11236102527122109</v>
      </c>
      <c r="K31" t="s">
        <v>31</v>
      </c>
      <c r="L31" t="s">
        <v>31</v>
      </c>
      <c r="M31" t="s">
        <v>31</v>
      </c>
      <c r="O31" s="118" t="s">
        <v>580</v>
      </c>
      <c r="P31" s="119">
        <v>0.3</v>
      </c>
      <c r="Q31" t="s">
        <v>241</v>
      </c>
      <c r="R31">
        <f>P31*0.001</f>
        <v>2.9999999999999997E-4</v>
      </c>
    </row>
    <row r="32" spans="1:18" ht="15.6">
      <c r="A32" s="105" t="s">
        <v>5</v>
      </c>
      <c r="B32" s="123" t="s">
        <v>1684</v>
      </c>
      <c r="C32" s="69"/>
      <c r="D32" s="70"/>
      <c r="E32" s="70"/>
      <c r="F32" s="70"/>
      <c r="G32" s="70"/>
      <c r="H32" s="70"/>
      <c r="I32" s="70"/>
      <c r="J32" s="70"/>
      <c r="K32" s="70"/>
      <c r="L32" s="70"/>
      <c r="M32" s="70"/>
      <c r="N32" s="70"/>
      <c r="O32" s="70"/>
      <c r="P32" s="70"/>
      <c r="Q32" s="70"/>
      <c r="R32" s="70"/>
    </row>
    <row r="33" spans="1:21">
      <c r="A33" s="107" t="s">
        <v>7</v>
      </c>
      <c r="B33" t="s">
        <v>1654</v>
      </c>
      <c r="C33" s="72"/>
    </row>
    <row r="34" spans="1:21">
      <c r="A34" s="107" t="s">
        <v>9</v>
      </c>
      <c r="B34" t="s">
        <v>1686</v>
      </c>
      <c r="C34" s="72"/>
    </row>
    <row r="35" spans="1:21" ht="15.75" customHeight="1">
      <c r="A35" s="107" t="s">
        <v>11</v>
      </c>
      <c r="B35" s="73" t="s">
        <v>796</v>
      </c>
      <c r="O35" t="s">
        <v>1687</v>
      </c>
      <c r="T35" s="84" t="s">
        <v>1228</v>
      </c>
    </row>
    <row r="36" spans="1:21">
      <c r="A36" s="107" t="s">
        <v>13</v>
      </c>
      <c r="B36" t="s">
        <v>14</v>
      </c>
      <c r="O36">
        <f>0.28/0.05</f>
        <v>5.6000000000000005</v>
      </c>
      <c r="P36" t="s">
        <v>891</v>
      </c>
      <c r="T36">
        <f>0.16/0.25</f>
        <v>0.64</v>
      </c>
      <c r="U36" t="s">
        <v>891</v>
      </c>
    </row>
    <row r="37" spans="1:21">
      <c r="A37" s="107" t="s">
        <v>15</v>
      </c>
      <c r="B37">
        <f>B42</f>
        <v>0.05</v>
      </c>
    </row>
    <row r="38" spans="1:21">
      <c r="A38" s="107" t="s">
        <v>16</v>
      </c>
      <c r="B38" t="s">
        <v>17</v>
      </c>
    </row>
    <row r="39" spans="1:21">
      <c r="A39" s="107" t="s">
        <v>18</v>
      </c>
      <c r="B39" t="s">
        <v>609</v>
      </c>
    </row>
    <row r="40" spans="1:21" ht="15.6">
      <c r="A40" s="108" t="s">
        <v>19</v>
      </c>
    </row>
    <row r="41" spans="1:21" ht="15.6">
      <c r="A41" s="108"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1" ht="15.6">
      <c r="A42" s="22" t="s">
        <v>1684</v>
      </c>
      <c r="B42">
        <v>0.05</v>
      </c>
      <c r="C42" t="s">
        <v>609</v>
      </c>
      <c r="D42" s="109" t="s">
        <v>2</v>
      </c>
      <c r="E42" t="s">
        <v>29</v>
      </c>
      <c r="F42" s="74" t="s">
        <v>14</v>
      </c>
      <c r="G42" t="s">
        <v>30</v>
      </c>
      <c r="H42">
        <v>1</v>
      </c>
      <c r="I42">
        <f>B42</f>
        <v>0.05</v>
      </c>
      <c r="J42" t="s">
        <v>31</v>
      </c>
      <c r="K42" t="s">
        <v>31</v>
      </c>
      <c r="L42" t="s">
        <v>31</v>
      </c>
      <c r="M42" t="s">
        <v>31</v>
      </c>
    </row>
    <row r="43" spans="1:21" ht="15.6">
      <c r="A43" s="22" t="s">
        <v>1688</v>
      </c>
      <c r="B43" s="115">
        <f>B68</f>
        <v>0.28000000000000003</v>
      </c>
      <c r="C43" t="s">
        <v>37</v>
      </c>
      <c r="D43" s="109" t="s">
        <v>2</v>
      </c>
      <c r="E43" t="s">
        <v>29</v>
      </c>
      <c r="F43" s="74" t="s">
        <v>14</v>
      </c>
      <c r="G43" t="s">
        <v>33</v>
      </c>
      <c r="H43">
        <v>1</v>
      </c>
      <c r="I43">
        <f>B43</f>
        <v>0.28000000000000003</v>
      </c>
      <c r="J43" t="s">
        <v>31</v>
      </c>
      <c r="K43" t="s">
        <v>31</v>
      </c>
      <c r="L43" t="s">
        <v>31</v>
      </c>
      <c r="M43" t="s">
        <v>31</v>
      </c>
      <c r="O43" s="101"/>
      <c r="P43" s="114"/>
    </row>
    <row r="44" spans="1:21" ht="15.6">
      <c r="A44" s="121" t="s">
        <v>38</v>
      </c>
      <c r="B44" s="122">
        <f>P44</f>
        <v>0.36</v>
      </c>
      <c r="C44" t="s">
        <v>39</v>
      </c>
      <c r="D44" s="17" t="s">
        <v>40</v>
      </c>
      <c r="E44" t="s">
        <v>29</v>
      </c>
      <c r="F44" s="74" t="s">
        <v>35</v>
      </c>
      <c r="G44" t="s">
        <v>33</v>
      </c>
      <c r="H44">
        <v>2</v>
      </c>
      <c r="I44">
        <f t="shared" ref="I44" si="3">LN(B44)</f>
        <v>-1.0216512475319814</v>
      </c>
      <c r="J44" s="113">
        <v>7.2284161474004766E-2</v>
      </c>
      <c r="K44" t="s">
        <v>31</v>
      </c>
      <c r="L44" t="s">
        <v>31</v>
      </c>
      <c r="M44" t="s">
        <v>31</v>
      </c>
      <c r="O44" s="101" t="s">
        <v>248</v>
      </c>
      <c r="P44" s="114">
        <v>0.36</v>
      </c>
    </row>
    <row r="45" spans="1:21" ht="15.6">
      <c r="A45" s="112" t="s">
        <v>310</v>
      </c>
      <c r="B45">
        <f>R45</f>
        <v>9.0000000000000011E-3</v>
      </c>
      <c r="C45" t="s">
        <v>37</v>
      </c>
      <c r="D45" s="17" t="s">
        <v>40</v>
      </c>
      <c r="E45" t="s">
        <v>29</v>
      </c>
      <c r="F45" s="74" t="s">
        <v>59</v>
      </c>
      <c r="G45" t="s">
        <v>33</v>
      </c>
      <c r="H45">
        <v>2</v>
      </c>
      <c r="I45">
        <f>LN(B45)</f>
        <v>-4.7105307016459177</v>
      </c>
      <c r="J45" s="113">
        <v>7.2284161474004766E-2</v>
      </c>
      <c r="K45" t="s">
        <v>31</v>
      </c>
      <c r="L45" t="s">
        <v>31</v>
      </c>
      <c r="M45" t="s">
        <v>31</v>
      </c>
      <c r="O45" s="101" t="s">
        <v>580</v>
      </c>
      <c r="P45" s="114">
        <v>9</v>
      </c>
      <c r="Q45" t="s">
        <v>241</v>
      </c>
      <c r="R45">
        <f>P45*0.001</f>
        <v>9.0000000000000011E-3</v>
      </c>
    </row>
    <row r="46" spans="1:21" ht="15.6">
      <c r="A46" s="112" t="s">
        <v>871</v>
      </c>
      <c r="B46">
        <f>R46</f>
        <v>1.6E-2</v>
      </c>
      <c r="C46" t="s">
        <v>37</v>
      </c>
      <c r="D46" s="17" t="s">
        <v>40</v>
      </c>
      <c r="E46" t="s">
        <v>29</v>
      </c>
      <c r="F46" s="74" t="s">
        <v>35</v>
      </c>
      <c r="G46" t="s">
        <v>33</v>
      </c>
      <c r="H46">
        <v>2</v>
      </c>
      <c r="I46">
        <f>LN(B46)</f>
        <v>-4.1351665567423561</v>
      </c>
      <c r="J46" s="113">
        <v>7.2284161474004766E-2</v>
      </c>
      <c r="K46" t="s">
        <v>31</v>
      </c>
      <c r="L46" t="s">
        <v>31</v>
      </c>
      <c r="M46" t="s">
        <v>31</v>
      </c>
      <c r="O46" s="101" t="s">
        <v>580</v>
      </c>
      <c r="P46" s="114">
        <v>16</v>
      </c>
      <c r="Q46" t="s">
        <v>241</v>
      </c>
      <c r="R46">
        <f>P46*0.001</f>
        <v>1.6E-2</v>
      </c>
    </row>
    <row r="47" spans="1:21" ht="15.6">
      <c r="A47" s="112" t="s">
        <v>799</v>
      </c>
      <c r="B47">
        <f>P47</f>
        <v>13.9</v>
      </c>
      <c r="C47" t="s">
        <v>37</v>
      </c>
      <c r="D47" s="17" t="s">
        <v>40</v>
      </c>
      <c r="E47" t="s">
        <v>29</v>
      </c>
      <c r="F47" s="74" t="s">
        <v>74</v>
      </c>
      <c r="G47" t="s">
        <v>33</v>
      </c>
      <c r="H47">
        <v>2</v>
      </c>
      <c r="I47">
        <f>LN(B47)</f>
        <v>2.631888840136646</v>
      </c>
      <c r="J47" s="113">
        <v>7.2284161474004766E-2</v>
      </c>
      <c r="K47" t="s">
        <v>31</v>
      </c>
      <c r="L47" t="s">
        <v>31</v>
      </c>
      <c r="M47" t="s">
        <v>31</v>
      </c>
      <c r="O47" s="101" t="s">
        <v>241</v>
      </c>
      <c r="P47" s="114">
        <v>13.9</v>
      </c>
    </row>
    <row r="48" spans="1:21" ht="15.6">
      <c r="A48" s="112" t="s">
        <v>76</v>
      </c>
      <c r="B48">
        <f>R48</f>
        <v>1.3900000000000001E-2</v>
      </c>
      <c r="C48" t="s">
        <v>42</v>
      </c>
      <c r="D48" s="17" t="s">
        <v>40</v>
      </c>
      <c r="E48" t="s">
        <v>29</v>
      </c>
      <c r="F48" s="74" t="s">
        <v>74</v>
      </c>
      <c r="G48" t="s">
        <v>33</v>
      </c>
      <c r="H48">
        <v>2</v>
      </c>
      <c r="I48">
        <f t="shared" ref="I48" si="4">LN(B48)</f>
        <v>-4.2758664388454912</v>
      </c>
      <c r="J48" s="113">
        <v>7.2284161474004766E-2</v>
      </c>
      <c r="K48" t="s">
        <v>31</v>
      </c>
      <c r="L48" t="s">
        <v>31</v>
      </c>
      <c r="M48" t="s">
        <v>31</v>
      </c>
      <c r="O48" s="118" t="s">
        <v>863</v>
      </c>
      <c r="P48" s="119">
        <v>13.9</v>
      </c>
      <c r="Q48" t="s">
        <v>251</v>
      </c>
      <c r="R48">
        <f>P48/1000</f>
        <v>1.3900000000000001E-2</v>
      </c>
    </row>
    <row r="49" spans="1:18" ht="15.6">
      <c r="A49" s="105" t="s">
        <v>5</v>
      </c>
      <c r="B49" s="123" t="s">
        <v>1689</v>
      </c>
      <c r="C49" s="69"/>
      <c r="D49" s="70"/>
      <c r="E49" s="70"/>
      <c r="F49" s="70"/>
      <c r="G49" s="70"/>
      <c r="H49" s="70"/>
      <c r="I49" s="70"/>
      <c r="J49" s="70"/>
      <c r="K49" s="70"/>
      <c r="L49" s="70"/>
      <c r="M49" s="70"/>
      <c r="N49" s="70"/>
      <c r="O49" s="70"/>
      <c r="P49" s="70"/>
      <c r="Q49" s="70"/>
      <c r="R49" s="70"/>
    </row>
    <row r="50" spans="1:18">
      <c r="A50" s="107" t="s">
        <v>7</v>
      </c>
      <c r="B50" t="s">
        <v>1654</v>
      </c>
      <c r="C50" s="72"/>
    </row>
    <row r="51" spans="1:18">
      <c r="A51" s="107" t="s">
        <v>9</v>
      </c>
      <c r="B51" t="s">
        <v>1690</v>
      </c>
      <c r="C51" s="72"/>
    </row>
    <row r="52" spans="1:18" ht="10.5" customHeight="1">
      <c r="A52" s="107" t="s">
        <v>11</v>
      </c>
      <c r="B52" s="73" t="s">
        <v>796</v>
      </c>
    </row>
    <row r="53" spans="1:18">
      <c r="A53" s="107" t="s">
        <v>13</v>
      </c>
      <c r="B53" t="s">
        <v>14</v>
      </c>
    </row>
    <row r="54" spans="1:18">
      <c r="A54" s="107" t="s">
        <v>15</v>
      </c>
      <c r="B54" s="124">
        <f>B59</f>
        <v>2.4E-2</v>
      </c>
    </row>
    <row r="55" spans="1:18">
      <c r="A55" s="107" t="s">
        <v>16</v>
      </c>
      <c r="B55" t="s">
        <v>17</v>
      </c>
    </row>
    <row r="56" spans="1:18">
      <c r="A56" s="107" t="s">
        <v>18</v>
      </c>
      <c r="B56" t="s">
        <v>37</v>
      </c>
    </row>
    <row r="57" spans="1:18" ht="15.6">
      <c r="A57" s="108" t="s">
        <v>19</v>
      </c>
    </row>
    <row r="58" spans="1:18" ht="15.6">
      <c r="A58" s="108"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6">
      <c r="A59" s="22" t="s">
        <v>1689</v>
      </c>
      <c r="B59" s="124">
        <v>2.4E-2</v>
      </c>
      <c r="C59" t="s">
        <v>37</v>
      </c>
      <c r="D59" s="109" t="s">
        <v>2</v>
      </c>
      <c r="E59" t="s">
        <v>29</v>
      </c>
      <c r="F59" s="74" t="s">
        <v>14</v>
      </c>
      <c r="G59" t="s">
        <v>30</v>
      </c>
      <c r="H59">
        <v>1</v>
      </c>
      <c r="I59" s="124">
        <f>B59</f>
        <v>2.4E-2</v>
      </c>
      <c r="J59" t="s">
        <v>31</v>
      </c>
      <c r="K59" t="s">
        <v>31</v>
      </c>
      <c r="L59" t="s">
        <v>31</v>
      </c>
      <c r="M59" t="s">
        <v>31</v>
      </c>
      <c r="O59" s="59"/>
      <c r="P59" s="120"/>
    </row>
    <row r="60" spans="1:18" ht="15.6">
      <c r="A60" s="112" t="s">
        <v>874</v>
      </c>
      <c r="B60" s="122">
        <f>R60</f>
        <v>2.1000000000000001E-2</v>
      </c>
      <c r="C60" t="s">
        <v>37</v>
      </c>
      <c r="D60" s="17" t="s">
        <v>40</v>
      </c>
      <c r="E60" t="s">
        <v>29</v>
      </c>
      <c r="F60" s="74" t="s">
        <v>59</v>
      </c>
      <c r="G60" t="s">
        <v>33</v>
      </c>
      <c r="H60">
        <v>2</v>
      </c>
      <c r="I60">
        <f>LN(B60)</f>
        <v>-3.8632328412587138</v>
      </c>
      <c r="J60">
        <v>7.2284161474004766E-2</v>
      </c>
      <c r="K60" t="s">
        <v>31</v>
      </c>
      <c r="L60" t="s">
        <v>31</v>
      </c>
      <c r="M60" t="s">
        <v>31</v>
      </c>
      <c r="O60" s="101" t="s">
        <v>580</v>
      </c>
      <c r="P60" s="114">
        <v>21</v>
      </c>
      <c r="Q60" t="s">
        <v>241</v>
      </c>
      <c r="R60">
        <f>P60*0.001</f>
        <v>2.1000000000000001E-2</v>
      </c>
    </row>
    <row r="61" spans="1:18" ht="15.6">
      <c r="A61" s="121" t="s">
        <v>38</v>
      </c>
      <c r="B61" s="122">
        <f>P61</f>
        <v>0.1</v>
      </c>
      <c r="C61" t="s">
        <v>39</v>
      </c>
      <c r="D61" s="17" t="s">
        <v>40</v>
      </c>
      <c r="E61" t="s">
        <v>29</v>
      </c>
      <c r="F61" s="74" t="s">
        <v>35</v>
      </c>
      <c r="G61" t="s">
        <v>33</v>
      </c>
      <c r="H61">
        <v>2</v>
      </c>
      <c r="I61">
        <f t="shared" ref="I61:I62" si="5">LN(B61)</f>
        <v>-2.3025850929940455</v>
      </c>
      <c r="J61">
        <v>7.2284161474004766E-2</v>
      </c>
      <c r="K61" t="s">
        <v>31</v>
      </c>
      <c r="L61" t="s">
        <v>31</v>
      </c>
      <c r="M61" t="s">
        <v>31</v>
      </c>
      <c r="O61" s="101" t="s">
        <v>248</v>
      </c>
      <c r="P61" s="114">
        <v>0.1</v>
      </c>
    </row>
    <row r="62" spans="1:18" ht="15.6">
      <c r="A62" s="125" t="s">
        <v>1659</v>
      </c>
      <c r="B62">
        <v>1E-3</v>
      </c>
      <c r="C62" t="s">
        <v>37</v>
      </c>
      <c r="D62" s="109" t="s">
        <v>2</v>
      </c>
      <c r="E62" t="s">
        <v>29</v>
      </c>
      <c r="F62" s="74" t="s">
        <v>74</v>
      </c>
      <c r="G62" t="s">
        <v>33</v>
      </c>
      <c r="H62">
        <v>2</v>
      </c>
      <c r="I62">
        <f t="shared" si="5"/>
        <v>-6.9077552789821368</v>
      </c>
      <c r="J62">
        <v>7.2284161474004766E-2</v>
      </c>
      <c r="K62" t="s">
        <v>31</v>
      </c>
      <c r="L62" t="s">
        <v>31</v>
      </c>
      <c r="M62" t="s">
        <v>31</v>
      </c>
    </row>
    <row r="63" spans="1:18" ht="15.6">
      <c r="A63" s="105" t="s">
        <v>5</v>
      </c>
      <c r="B63" s="123" t="s">
        <v>1688</v>
      </c>
      <c r="C63" s="69"/>
      <c r="D63" s="70"/>
      <c r="E63" s="70"/>
      <c r="F63" s="70"/>
      <c r="G63" s="70"/>
      <c r="H63" s="70"/>
      <c r="I63" s="70"/>
      <c r="J63" s="70"/>
      <c r="K63" s="70"/>
      <c r="L63" s="70"/>
      <c r="M63" s="70"/>
      <c r="N63" s="70"/>
      <c r="O63" s="70"/>
      <c r="P63" s="70"/>
      <c r="Q63" s="70"/>
      <c r="R63" s="70"/>
    </row>
    <row r="64" spans="1:18">
      <c r="A64" s="107" t="s">
        <v>7</v>
      </c>
      <c r="B64" t="s">
        <v>1654</v>
      </c>
      <c r="C64" s="72"/>
    </row>
    <row r="65" spans="1:16">
      <c r="A65" s="107" t="s">
        <v>9</v>
      </c>
      <c r="B65" t="s">
        <v>1691</v>
      </c>
      <c r="C65" s="72"/>
    </row>
    <row r="66" spans="1:16" ht="10.5" customHeight="1">
      <c r="A66" s="107" t="s">
        <v>11</v>
      </c>
      <c r="B66" s="73" t="s">
        <v>796</v>
      </c>
    </row>
    <row r="67" spans="1:16">
      <c r="A67" s="107" t="s">
        <v>13</v>
      </c>
      <c r="B67" t="s">
        <v>14</v>
      </c>
    </row>
    <row r="68" spans="1:16">
      <c r="A68" s="107" t="s">
        <v>15</v>
      </c>
      <c r="B68" s="23">
        <f>B73</f>
        <v>0.28000000000000003</v>
      </c>
    </row>
    <row r="69" spans="1:16">
      <c r="A69" s="107" t="s">
        <v>16</v>
      </c>
      <c r="B69" t="s">
        <v>17</v>
      </c>
    </row>
    <row r="70" spans="1:16">
      <c r="A70" s="107" t="s">
        <v>18</v>
      </c>
      <c r="B70" t="s">
        <v>37</v>
      </c>
    </row>
    <row r="71" spans="1:16" ht="15.6">
      <c r="A71" s="108" t="s">
        <v>19</v>
      </c>
    </row>
    <row r="72" spans="1:16" ht="15.6">
      <c r="A72" s="108" t="s">
        <v>20</v>
      </c>
      <c r="B72" s="16" t="s">
        <v>21</v>
      </c>
      <c r="C72" s="16" t="s">
        <v>18</v>
      </c>
      <c r="D72" s="16" t="s">
        <v>22</v>
      </c>
      <c r="E72" s="16" t="s">
        <v>7</v>
      </c>
      <c r="F72" s="16" t="s">
        <v>13</v>
      </c>
      <c r="G72" s="16" t="s">
        <v>16</v>
      </c>
      <c r="H72" s="16" t="s">
        <v>23</v>
      </c>
      <c r="I72" s="16" t="s">
        <v>24</v>
      </c>
      <c r="J72" s="16" t="s">
        <v>25</v>
      </c>
      <c r="K72" s="16" t="s">
        <v>26</v>
      </c>
      <c r="L72" s="16" t="s">
        <v>27</v>
      </c>
      <c r="M72" s="16" t="s">
        <v>28</v>
      </c>
      <c r="N72" s="16" t="s">
        <v>11</v>
      </c>
    </row>
    <row r="73" spans="1:16" ht="15.6">
      <c r="A73" s="22" t="s">
        <v>1688</v>
      </c>
      <c r="B73" s="23">
        <v>0.28000000000000003</v>
      </c>
      <c r="C73" t="s">
        <v>37</v>
      </c>
      <c r="D73" s="109" t="s">
        <v>2</v>
      </c>
      <c r="E73" t="s">
        <v>29</v>
      </c>
      <c r="F73" s="74" t="s">
        <v>14</v>
      </c>
      <c r="G73" t="s">
        <v>30</v>
      </c>
      <c r="H73">
        <v>1</v>
      </c>
      <c r="I73" s="23">
        <f>B73</f>
        <v>0.28000000000000003</v>
      </c>
      <c r="J73" t="s">
        <v>31</v>
      </c>
      <c r="K73" t="s">
        <v>31</v>
      </c>
      <c r="L73" t="s">
        <v>31</v>
      </c>
      <c r="M73" t="s">
        <v>31</v>
      </c>
      <c r="O73" s="59"/>
      <c r="P73" s="120"/>
    </row>
    <row r="74" spans="1:16" ht="15.6">
      <c r="A74" s="112" t="s">
        <v>703</v>
      </c>
      <c r="B74" s="122">
        <v>0.28000000000000003</v>
      </c>
      <c r="C74" t="s">
        <v>37</v>
      </c>
      <c r="D74" s="17" t="s">
        <v>40</v>
      </c>
      <c r="E74" t="s">
        <v>29</v>
      </c>
      <c r="F74" s="74" t="s">
        <v>59</v>
      </c>
      <c r="G74" t="s">
        <v>33</v>
      </c>
      <c r="H74">
        <v>1</v>
      </c>
      <c r="I74" s="23">
        <f t="shared" ref="I74:I75" si="6">B74</f>
        <v>0.28000000000000003</v>
      </c>
      <c r="J74" t="s">
        <v>31</v>
      </c>
      <c r="K74" t="s">
        <v>31</v>
      </c>
      <c r="L74" t="s">
        <v>31</v>
      </c>
      <c r="M74" t="s">
        <v>31</v>
      </c>
      <c r="O74" s="59"/>
      <c r="P74" s="120"/>
    </row>
    <row r="75" spans="1:16" ht="15.6">
      <c r="A75" s="112" t="s">
        <v>876</v>
      </c>
      <c r="B75" s="122">
        <v>0.28000000000000003</v>
      </c>
      <c r="C75" t="s">
        <v>37</v>
      </c>
      <c r="D75" s="17" t="s">
        <v>40</v>
      </c>
      <c r="E75" t="s">
        <v>29</v>
      </c>
      <c r="F75" s="74" t="s">
        <v>59</v>
      </c>
      <c r="G75" t="s">
        <v>33</v>
      </c>
      <c r="H75">
        <v>1</v>
      </c>
      <c r="I75" s="23">
        <f t="shared" si="6"/>
        <v>0.28000000000000003</v>
      </c>
      <c r="J75" t="s">
        <v>31</v>
      </c>
      <c r="K75" t="s">
        <v>31</v>
      </c>
      <c r="L75" t="s">
        <v>31</v>
      </c>
      <c r="M75" t="s">
        <v>31</v>
      </c>
      <c r="O75" s="59"/>
      <c r="P75" s="120"/>
    </row>
    <row r="76" spans="1:16" s="70" customFormat="1" ht="15.6">
      <c r="A76" s="67" t="s">
        <v>5</v>
      </c>
      <c r="B76" s="123" t="s">
        <v>1692</v>
      </c>
      <c r="C76" s="69"/>
    </row>
    <row r="77" spans="1:16">
      <c r="A77" s="71" t="s">
        <v>7</v>
      </c>
      <c r="B77" t="s">
        <v>1654</v>
      </c>
      <c r="C77" s="72"/>
    </row>
    <row r="78" spans="1:16">
      <c r="A78" s="126" t="s">
        <v>9</v>
      </c>
      <c r="B78" t="s">
        <v>1693</v>
      </c>
      <c r="C78" s="72"/>
    </row>
    <row r="79" spans="1:16" ht="15.75" customHeight="1">
      <c r="A79" s="71" t="s">
        <v>11</v>
      </c>
      <c r="B79" s="73" t="s">
        <v>796</v>
      </c>
    </row>
    <row r="80" spans="1:16">
      <c r="A80" s="71" t="s">
        <v>13</v>
      </c>
      <c r="B80" t="s">
        <v>14</v>
      </c>
    </row>
    <row r="81" spans="1:19">
      <c r="A81" s="71" t="s">
        <v>15</v>
      </c>
      <c r="B81" s="127">
        <f>B86</f>
        <v>4.53</v>
      </c>
    </row>
    <row r="82" spans="1:19">
      <c r="A82" s="71" t="s">
        <v>16</v>
      </c>
      <c r="B82" t="s">
        <v>17</v>
      </c>
    </row>
    <row r="83" spans="1:19">
      <c r="A83" s="71" t="s">
        <v>18</v>
      </c>
      <c r="B83" t="s">
        <v>37</v>
      </c>
      <c r="S83" s="115"/>
    </row>
    <row r="84" spans="1:19" ht="15.6">
      <c r="A84" s="75" t="s">
        <v>19</v>
      </c>
    </row>
    <row r="85" spans="1:19" ht="15.6">
      <c r="A85" s="16" t="s">
        <v>20</v>
      </c>
      <c r="B85" s="16" t="s">
        <v>21</v>
      </c>
      <c r="C85" s="16" t="s">
        <v>18</v>
      </c>
      <c r="D85" s="16" t="s">
        <v>22</v>
      </c>
      <c r="E85" s="16" t="s">
        <v>7</v>
      </c>
      <c r="F85" s="16" t="s">
        <v>13</v>
      </c>
      <c r="G85" s="16" t="s">
        <v>16</v>
      </c>
      <c r="H85" s="16" t="s">
        <v>23</v>
      </c>
      <c r="I85" s="16" t="s">
        <v>24</v>
      </c>
      <c r="J85" s="16" t="s">
        <v>25</v>
      </c>
      <c r="K85" s="16" t="s">
        <v>26</v>
      </c>
      <c r="L85" s="16" t="s">
        <v>27</v>
      </c>
      <c r="M85" s="16" t="s">
        <v>28</v>
      </c>
      <c r="N85" s="16" t="s">
        <v>11</v>
      </c>
    </row>
    <row r="86" spans="1:19" ht="15.6">
      <c r="A86" t="s">
        <v>1692</v>
      </c>
      <c r="B86" s="23">
        <v>4.53</v>
      </c>
      <c r="C86" t="s">
        <v>37</v>
      </c>
      <c r="D86" s="109" t="s">
        <v>2</v>
      </c>
      <c r="E86" t="s">
        <v>29</v>
      </c>
      <c r="F86" t="s">
        <v>14</v>
      </c>
      <c r="G86" t="s">
        <v>879</v>
      </c>
      <c r="H86">
        <v>1</v>
      </c>
      <c r="I86" s="23">
        <f>B86</f>
        <v>4.53</v>
      </c>
      <c r="J86" t="s">
        <v>31</v>
      </c>
      <c r="K86" t="s">
        <v>31</v>
      </c>
      <c r="L86" t="s">
        <v>31</v>
      </c>
      <c r="M86" t="s">
        <v>31</v>
      </c>
      <c r="O86" s="128"/>
      <c r="P86" s="129"/>
    </row>
    <row r="87" spans="1:19" ht="15.6">
      <c r="A87" s="88" t="s">
        <v>653</v>
      </c>
      <c r="B87" s="23">
        <v>4.53</v>
      </c>
      <c r="C87" t="s">
        <v>37</v>
      </c>
      <c r="D87" s="17" t="s">
        <v>40</v>
      </c>
      <c r="E87" t="s">
        <v>29</v>
      </c>
      <c r="F87" s="74" t="s">
        <v>59</v>
      </c>
      <c r="G87" t="s">
        <v>33</v>
      </c>
      <c r="H87">
        <v>1</v>
      </c>
      <c r="I87" s="23">
        <f t="shared" ref="I87:I89" si="7">B87</f>
        <v>4.53</v>
      </c>
      <c r="J87" t="s">
        <v>31</v>
      </c>
      <c r="K87" t="s">
        <v>31</v>
      </c>
      <c r="L87" t="s">
        <v>31</v>
      </c>
      <c r="M87" t="s">
        <v>31</v>
      </c>
      <c r="O87" s="101"/>
      <c r="P87" s="114"/>
    </row>
    <row r="88" spans="1:19" ht="15.6">
      <c r="A88" s="88" t="s">
        <v>624</v>
      </c>
      <c r="B88" s="23">
        <v>4.53</v>
      </c>
      <c r="C88" t="s">
        <v>37</v>
      </c>
      <c r="D88" s="17" t="s">
        <v>40</v>
      </c>
      <c r="E88" t="s">
        <v>29</v>
      </c>
      <c r="F88" s="74" t="s">
        <v>59</v>
      </c>
      <c r="G88" t="s">
        <v>33</v>
      </c>
      <c r="H88">
        <v>1</v>
      </c>
      <c r="I88" s="23">
        <f t="shared" si="7"/>
        <v>4.53</v>
      </c>
      <c r="J88" t="s">
        <v>31</v>
      </c>
      <c r="K88" t="s">
        <v>31</v>
      </c>
      <c r="L88" t="s">
        <v>31</v>
      </c>
      <c r="M88" t="s">
        <v>31</v>
      </c>
      <c r="O88" s="101"/>
      <c r="P88" s="114"/>
    </row>
    <row r="89" spans="1:19" ht="15.6">
      <c r="A89" s="88" t="s">
        <v>880</v>
      </c>
      <c r="B89" s="23">
        <v>4.53</v>
      </c>
      <c r="C89" t="s">
        <v>37</v>
      </c>
      <c r="D89" s="17" t="s">
        <v>40</v>
      </c>
      <c r="E89" t="s">
        <v>29</v>
      </c>
      <c r="F89" s="74" t="s">
        <v>35</v>
      </c>
      <c r="G89" t="s">
        <v>33</v>
      </c>
      <c r="H89">
        <v>1</v>
      </c>
      <c r="I89" s="23">
        <f t="shared" si="7"/>
        <v>4.53</v>
      </c>
      <c r="J89" t="s">
        <v>31</v>
      </c>
      <c r="K89" t="s">
        <v>31</v>
      </c>
      <c r="L89" t="s">
        <v>31</v>
      </c>
      <c r="M89" t="s">
        <v>31</v>
      </c>
      <c r="O89" s="101"/>
      <c r="P89" s="114"/>
    </row>
    <row r="90" spans="1:19" ht="15.6">
      <c r="A90" s="67" t="s">
        <v>5</v>
      </c>
      <c r="B90" s="123" t="s">
        <v>1678</v>
      </c>
      <c r="C90" s="69"/>
      <c r="D90" s="70"/>
      <c r="E90" s="70"/>
      <c r="F90" s="70"/>
      <c r="G90" s="70"/>
      <c r="H90" s="70"/>
      <c r="I90" s="70"/>
      <c r="J90" s="70"/>
      <c r="K90" s="70"/>
      <c r="L90" s="70"/>
      <c r="M90" s="70"/>
    </row>
    <row r="91" spans="1:19">
      <c r="A91" s="71" t="s">
        <v>7</v>
      </c>
      <c r="B91" t="s">
        <v>1654</v>
      </c>
      <c r="C91" s="72"/>
    </row>
    <row r="92" spans="1:19">
      <c r="A92" s="71" t="s">
        <v>9</v>
      </c>
      <c r="B92" s="22" t="s">
        <v>1694</v>
      </c>
      <c r="C92" s="72"/>
    </row>
    <row r="93" spans="1:19">
      <c r="A93" s="71" t="s">
        <v>11</v>
      </c>
      <c r="B93" s="73" t="s">
        <v>788</v>
      </c>
    </row>
    <row r="94" spans="1:19">
      <c r="A94" s="71" t="s">
        <v>13</v>
      </c>
      <c r="B94" s="74" t="s">
        <v>14</v>
      </c>
    </row>
    <row r="95" spans="1:19">
      <c r="A95" s="71" t="s">
        <v>15</v>
      </c>
      <c r="B95">
        <v>0.25</v>
      </c>
    </row>
    <row r="96" spans="1:19">
      <c r="A96" s="71" t="s">
        <v>16</v>
      </c>
      <c r="B96" t="s">
        <v>17</v>
      </c>
    </row>
    <row r="97" spans="1:15">
      <c r="A97" s="71" t="s">
        <v>18</v>
      </c>
      <c r="B97" t="s">
        <v>37</v>
      </c>
    </row>
    <row r="98" spans="1:15" ht="15.6">
      <c r="A98" s="75" t="s">
        <v>19</v>
      </c>
    </row>
    <row r="99" spans="1:15" ht="15.6">
      <c r="A99" s="75" t="s">
        <v>20</v>
      </c>
      <c r="B99" s="16" t="s">
        <v>21</v>
      </c>
      <c r="C99" s="16" t="s">
        <v>18</v>
      </c>
      <c r="D99" s="16" t="s">
        <v>22</v>
      </c>
      <c r="E99" s="16" t="s">
        <v>7</v>
      </c>
      <c r="F99" s="16" t="s">
        <v>13</v>
      </c>
      <c r="G99" s="16" t="s">
        <v>16</v>
      </c>
      <c r="H99" s="16" t="s">
        <v>23</v>
      </c>
      <c r="I99" s="16" t="s">
        <v>24</v>
      </c>
      <c r="J99" s="16" t="s">
        <v>25</v>
      </c>
      <c r="K99" s="16" t="s">
        <v>26</v>
      </c>
      <c r="L99" s="16" t="s">
        <v>27</v>
      </c>
      <c r="M99" s="16" t="s">
        <v>28</v>
      </c>
      <c r="N99" s="16" t="s">
        <v>11</v>
      </c>
    </row>
    <row r="100" spans="1:15" ht="15.6">
      <c r="A100" s="59" t="s">
        <v>1678</v>
      </c>
      <c r="B100" s="59">
        <v>0.25</v>
      </c>
      <c r="C100" t="s">
        <v>37</v>
      </c>
      <c r="D100" s="17" t="s">
        <v>2</v>
      </c>
      <c r="E100" t="s">
        <v>29</v>
      </c>
      <c r="F100" s="74" t="s">
        <v>14</v>
      </c>
      <c r="G100" t="s">
        <v>30</v>
      </c>
      <c r="H100">
        <v>1</v>
      </c>
      <c r="I100">
        <f>B100</f>
        <v>0.25</v>
      </c>
      <c r="J100" t="s">
        <v>31</v>
      </c>
      <c r="K100" t="s">
        <v>31</v>
      </c>
      <c r="L100" t="s">
        <v>31</v>
      </c>
      <c r="M100" t="s">
        <v>31</v>
      </c>
    </row>
    <row r="101" spans="1:15" ht="15.6">
      <c r="A101" s="59" t="s">
        <v>1692</v>
      </c>
      <c r="B101" s="59">
        <v>0.25</v>
      </c>
      <c r="C101" t="s">
        <v>37</v>
      </c>
      <c r="D101" s="17" t="s">
        <v>2</v>
      </c>
      <c r="E101" t="s">
        <v>29</v>
      </c>
      <c r="F101" s="74" t="s">
        <v>14</v>
      </c>
      <c r="G101" t="s">
        <v>33</v>
      </c>
      <c r="H101">
        <v>1</v>
      </c>
      <c r="I101">
        <f>B101</f>
        <v>0.25</v>
      </c>
      <c r="J101" t="s">
        <v>31</v>
      </c>
      <c r="K101" t="s">
        <v>31</v>
      </c>
      <c r="L101" t="s">
        <v>31</v>
      </c>
      <c r="M101" t="s">
        <v>31</v>
      </c>
    </row>
    <row r="102" spans="1:15" ht="15.6">
      <c r="A102" s="130" t="s">
        <v>882</v>
      </c>
      <c r="B102">
        <v>2.1999999999999999E-2</v>
      </c>
      <c r="C102" t="s">
        <v>37</v>
      </c>
      <c r="D102" s="17" t="s">
        <v>40</v>
      </c>
      <c r="E102" t="s">
        <v>29</v>
      </c>
      <c r="F102" s="74" t="s">
        <v>82</v>
      </c>
      <c r="G102" t="s">
        <v>33</v>
      </c>
      <c r="H102">
        <v>1</v>
      </c>
      <c r="I102">
        <f t="shared" ref="I102:I104" si="8">B102</f>
        <v>2.1999999999999999E-2</v>
      </c>
      <c r="J102" t="s">
        <v>31</v>
      </c>
      <c r="K102" t="s">
        <v>31</v>
      </c>
      <c r="L102" t="s">
        <v>31</v>
      </c>
      <c r="M102" t="s">
        <v>31</v>
      </c>
      <c r="O102">
        <v>2.1999999999999999E-2</v>
      </c>
    </row>
    <row r="103" spans="1:15" ht="15.6">
      <c r="A103" s="130" t="s">
        <v>883</v>
      </c>
      <c r="B103">
        <v>0.51</v>
      </c>
      <c r="C103" t="s">
        <v>609</v>
      </c>
      <c r="D103" s="17" t="s">
        <v>40</v>
      </c>
      <c r="E103" t="s">
        <v>29</v>
      </c>
      <c r="F103" s="74" t="s">
        <v>59</v>
      </c>
      <c r="G103" t="s">
        <v>33</v>
      </c>
      <c r="H103">
        <v>1</v>
      </c>
      <c r="I103">
        <f t="shared" si="8"/>
        <v>0.51</v>
      </c>
      <c r="J103" t="s">
        <v>31</v>
      </c>
      <c r="K103" t="s">
        <v>31</v>
      </c>
      <c r="L103" t="s">
        <v>31</v>
      </c>
      <c r="M103" t="s">
        <v>31</v>
      </c>
      <c r="O103">
        <v>0.51</v>
      </c>
    </row>
    <row r="104" spans="1:15" ht="15.6">
      <c r="A104" s="130" t="s">
        <v>599</v>
      </c>
      <c r="B104">
        <v>2.1999999999999999E-2</v>
      </c>
      <c r="C104" t="s">
        <v>37</v>
      </c>
      <c r="D104" s="17" t="s">
        <v>40</v>
      </c>
      <c r="E104" t="s">
        <v>29</v>
      </c>
      <c r="F104" s="74" t="s">
        <v>59</v>
      </c>
      <c r="G104" t="s">
        <v>33</v>
      </c>
      <c r="H104">
        <v>1</v>
      </c>
      <c r="I104">
        <f t="shared" si="8"/>
        <v>2.1999999999999999E-2</v>
      </c>
      <c r="J104" t="s">
        <v>31</v>
      </c>
      <c r="K104" t="s">
        <v>31</v>
      </c>
      <c r="L104" t="s">
        <v>31</v>
      </c>
      <c r="M104" t="s">
        <v>31</v>
      </c>
      <c r="O104">
        <v>2.1999999999999999E-2</v>
      </c>
    </row>
  </sheetData>
  <pageMargins left="0.7" right="0.7" top="0.75" bottom="0.75" header="0.3" footer="0.3"/>
  <pageSetup paperSize="9" orientation="portrai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8169D-5474-4E69-9CE0-3A694486ED9B}">
  <sheetPr>
    <tabColor theme="5" tint="0.79998168889431442"/>
  </sheetPr>
  <dimension ref="A1:V47"/>
  <sheetViews>
    <sheetView zoomScale="70" zoomScaleNormal="70" workbookViewId="0">
      <selection activeCell="B5" sqref="B5"/>
    </sheetView>
  </sheetViews>
  <sheetFormatPr defaultRowHeight="14.4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70" customFormat="1" ht="15.6">
      <c r="A2" s="67" t="s">
        <v>5</v>
      </c>
      <c r="B2" s="123" t="s">
        <v>1677</v>
      </c>
    </row>
    <row r="3" spans="1:22">
      <c r="A3" s="71" t="s">
        <v>7</v>
      </c>
      <c r="B3" t="s">
        <v>1654</v>
      </c>
      <c r="C3" s="72"/>
    </row>
    <row r="4" spans="1:22">
      <c r="A4" s="126" t="s">
        <v>9</v>
      </c>
      <c r="B4" t="s">
        <v>1695</v>
      </c>
      <c r="C4" s="72"/>
    </row>
    <row r="5" spans="1:22" ht="15.75" customHeight="1">
      <c r="A5" s="71" t="s">
        <v>11</v>
      </c>
      <c r="B5" s="73" t="s">
        <v>796</v>
      </c>
    </row>
    <row r="6" spans="1:22">
      <c r="A6" s="71" t="s">
        <v>13</v>
      </c>
      <c r="B6" t="s">
        <v>14</v>
      </c>
    </row>
    <row r="7" spans="1:22">
      <c r="A7" s="71" t="s">
        <v>15</v>
      </c>
      <c r="B7" s="115">
        <f>B12</f>
        <v>1.115</v>
      </c>
    </row>
    <row r="8" spans="1:22">
      <c r="A8" s="71" t="s">
        <v>16</v>
      </c>
      <c r="B8" t="s">
        <v>17</v>
      </c>
    </row>
    <row r="9" spans="1:22">
      <c r="A9" s="71" t="s">
        <v>18</v>
      </c>
      <c r="B9" t="s">
        <v>37</v>
      </c>
      <c r="S9" s="131" t="s">
        <v>885</v>
      </c>
    </row>
    <row r="10" spans="1:22" ht="15.6">
      <c r="A10" s="75" t="s">
        <v>19</v>
      </c>
      <c r="S10" t="s">
        <v>886</v>
      </c>
      <c r="T10">
        <v>8900</v>
      </c>
      <c r="U10" t="s">
        <v>887</v>
      </c>
    </row>
    <row r="11" spans="1:22" ht="15.6">
      <c r="A11" s="16"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c r="S11" t="s">
        <v>888</v>
      </c>
      <c r="T11">
        <f>5*10^-6</f>
        <v>4.9999999999999996E-6</v>
      </c>
      <c r="U11" t="s">
        <v>889</v>
      </c>
    </row>
    <row r="12" spans="1:22" ht="15.6">
      <c r="A12" t="s">
        <v>1677</v>
      </c>
      <c r="B12" s="132">
        <f>'A. ACDC POWER MODULE '!B18</f>
        <v>1.115</v>
      </c>
      <c r="C12" t="s">
        <v>37</v>
      </c>
      <c r="D12" s="109" t="s">
        <v>2</v>
      </c>
      <c r="E12" t="s">
        <v>29</v>
      </c>
      <c r="F12" t="s">
        <v>14</v>
      </c>
      <c r="G12" t="s">
        <v>30</v>
      </c>
      <c r="H12">
        <v>1</v>
      </c>
      <c r="I12">
        <v>1</v>
      </c>
      <c r="J12" t="s">
        <v>31</v>
      </c>
      <c r="K12" t="s">
        <v>31</v>
      </c>
      <c r="L12" t="s">
        <v>31</v>
      </c>
      <c r="M12" t="s">
        <v>31</v>
      </c>
      <c r="O12" s="84" t="s">
        <v>1237</v>
      </c>
      <c r="P12" s="133"/>
      <c r="Q12" t="s">
        <v>231</v>
      </c>
      <c r="S12" s="134" t="s">
        <v>890</v>
      </c>
      <c r="T12" s="135">
        <f>T11*T10</f>
        <v>4.4499999999999998E-2</v>
      </c>
      <c r="U12" s="136" t="s">
        <v>891</v>
      </c>
    </row>
    <row r="13" spans="1:22" ht="15.6">
      <c r="A13" t="s">
        <v>1696</v>
      </c>
      <c r="B13" s="132">
        <f>B28</f>
        <v>0.09</v>
      </c>
      <c r="C13" t="s">
        <v>609</v>
      </c>
      <c r="D13" s="109" t="s">
        <v>2</v>
      </c>
      <c r="E13" t="s">
        <v>29</v>
      </c>
      <c r="F13" t="s">
        <v>14</v>
      </c>
      <c r="G13" t="s">
        <v>33</v>
      </c>
      <c r="H13">
        <v>1</v>
      </c>
      <c r="I13" s="115">
        <f>B13</f>
        <v>0.09</v>
      </c>
      <c r="J13">
        <v>7.2284161474004766E-2</v>
      </c>
      <c r="K13" t="s">
        <v>31</v>
      </c>
      <c r="L13" t="s">
        <v>31</v>
      </c>
      <c r="M13" t="s">
        <v>31</v>
      </c>
      <c r="O13" s="101" t="s">
        <v>892</v>
      </c>
      <c r="P13" s="137">
        <f>B13*100</f>
        <v>9</v>
      </c>
    </row>
    <row r="14" spans="1:22" ht="15.6">
      <c r="A14" s="59" t="s">
        <v>1689</v>
      </c>
      <c r="B14" s="124">
        <f>U15</f>
        <v>3.6489999999999995E-2</v>
      </c>
      <c r="C14" t="s">
        <v>37</v>
      </c>
      <c r="D14" s="109" t="s">
        <v>2</v>
      </c>
      <c r="E14" t="s">
        <v>29</v>
      </c>
      <c r="F14" s="74" t="s">
        <v>14</v>
      </c>
      <c r="G14" t="s">
        <v>33</v>
      </c>
      <c r="H14">
        <v>1</v>
      </c>
      <c r="I14" s="115">
        <f>B14</f>
        <v>3.6489999999999995E-2</v>
      </c>
      <c r="J14">
        <v>7.2284161474004766E-2</v>
      </c>
      <c r="K14" t="s">
        <v>31</v>
      </c>
      <c r="L14" t="s">
        <v>31</v>
      </c>
      <c r="M14" t="s">
        <v>31</v>
      </c>
      <c r="O14" s="128"/>
      <c r="P14" s="129"/>
      <c r="S14" t="s">
        <v>554</v>
      </c>
      <c r="V14" s="111"/>
    </row>
    <row r="15" spans="1:22" ht="15.6">
      <c r="A15" s="76" t="s">
        <v>799</v>
      </c>
      <c r="B15">
        <f>Q15</f>
        <v>6.6</v>
      </c>
      <c r="C15" t="s">
        <v>37</v>
      </c>
      <c r="D15" s="17" t="s">
        <v>40</v>
      </c>
      <c r="E15" t="s">
        <v>29</v>
      </c>
      <c r="F15" s="74" t="s">
        <v>74</v>
      </c>
      <c r="G15" t="s">
        <v>33</v>
      </c>
      <c r="H15">
        <v>2</v>
      </c>
      <c r="I15">
        <f t="shared" ref="I15" si="0">LN(B15)</f>
        <v>1.8870696490323797</v>
      </c>
      <c r="J15">
        <v>7.2284161474004766E-2</v>
      </c>
      <c r="K15" t="s">
        <v>31</v>
      </c>
      <c r="L15" t="s">
        <v>31</v>
      </c>
      <c r="M15" t="s">
        <v>31</v>
      </c>
      <c r="O15" s="101" t="s">
        <v>241</v>
      </c>
      <c r="P15" s="138">
        <v>6.6</v>
      </c>
      <c r="Q15">
        <f>P15</f>
        <v>6.6</v>
      </c>
      <c r="S15" s="139">
        <v>0.82</v>
      </c>
      <c r="T15" s="140" t="s">
        <v>610</v>
      </c>
      <c r="U15" s="139">
        <f>S15*T12</f>
        <v>3.6489999999999995E-2</v>
      </c>
      <c r="V15" s="140" t="s">
        <v>241</v>
      </c>
    </row>
    <row r="16" spans="1:22" ht="15.6">
      <c r="A16" s="88" t="s">
        <v>874</v>
      </c>
      <c r="B16">
        <f>Q16</f>
        <v>2.9999999999999999E-7</v>
      </c>
      <c r="C16" t="s">
        <v>37</v>
      </c>
      <c r="D16" s="17" t="s">
        <v>40</v>
      </c>
      <c r="E16" t="s">
        <v>29</v>
      </c>
      <c r="F16" s="74" t="s">
        <v>59</v>
      </c>
      <c r="G16" t="s">
        <v>33</v>
      </c>
      <c r="H16">
        <v>2</v>
      </c>
      <c r="I16">
        <f>LN(B16)</f>
        <v>-15.01948336229021</v>
      </c>
      <c r="J16">
        <v>7.2284161474004766E-2</v>
      </c>
      <c r="K16" t="s">
        <v>31</v>
      </c>
      <c r="L16" t="s">
        <v>31</v>
      </c>
      <c r="M16" t="s">
        <v>31</v>
      </c>
      <c r="O16" s="116" t="s">
        <v>538</v>
      </c>
      <c r="P16" s="141">
        <v>0.3</v>
      </c>
      <c r="Q16">
        <f>0.000001*P16</f>
        <v>2.9999999999999999E-7</v>
      </c>
    </row>
    <row r="17" spans="1:20" ht="15.6">
      <c r="A17" s="88" t="s">
        <v>76</v>
      </c>
      <c r="B17">
        <f t="shared" ref="B17" si="1">Q17</f>
        <v>6.6E-3</v>
      </c>
      <c r="C17" t="s">
        <v>42</v>
      </c>
      <c r="D17" s="17" t="s">
        <v>40</v>
      </c>
      <c r="E17" t="s">
        <v>29</v>
      </c>
      <c r="F17" s="74" t="s">
        <v>74</v>
      </c>
      <c r="G17" t="s">
        <v>33</v>
      </c>
      <c r="H17">
        <v>2</v>
      </c>
      <c r="I17">
        <f t="shared" ref="I17" si="2">LN(B17)</f>
        <v>-5.0206856299497575</v>
      </c>
      <c r="J17">
        <v>7.2284161474004766E-2</v>
      </c>
      <c r="K17" t="s">
        <v>31</v>
      </c>
      <c r="L17" t="s">
        <v>31</v>
      </c>
      <c r="M17" t="s">
        <v>31</v>
      </c>
      <c r="O17" s="118" t="s">
        <v>863</v>
      </c>
      <c r="P17" s="142">
        <v>6.6</v>
      </c>
      <c r="Q17">
        <f>0.001*P17</f>
        <v>6.6E-3</v>
      </c>
    </row>
    <row r="18" spans="1:20" s="70" customFormat="1" ht="15.6">
      <c r="A18" s="67" t="s">
        <v>5</v>
      </c>
      <c r="B18" s="123" t="s">
        <v>1696</v>
      </c>
    </row>
    <row r="19" spans="1:20">
      <c r="A19" s="71" t="s">
        <v>7</v>
      </c>
      <c r="B19" t="s">
        <v>1654</v>
      </c>
      <c r="C19" s="72"/>
    </row>
    <row r="20" spans="1:20">
      <c r="A20" s="126" t="s">
        <v>9</v>
      </c>
      <c r="B20" s="22" t="s">
        <v>1697</v>
      </c>
      <c r="C20" s="72"/>
    </row>
    <row r="21" spans="1:20" ht="15.75" customHeight="1">
      <c r="A21" s="71" t="s">
        <v>11</v>
      </c>
      <c r="B21" s="73" t="s">
        <v>796</v>
      </c>
    </row>
    <row r="22" spans="1:20">
      <c r="A22" s="71" t="s">
        <v>13</v>
      </c>
      <c r="B22" t="s">
        <v>14</v>
      </c>
    </row>
    <row r="23" spans="1:20">
      <c r="A23" s="71" t="s">
        <v>15</v>
      </c>
      <c r="B23" s="115">
        <f>B28</f>
        <v>0.09</v>
      </c>
    </row>
    <row r="24" spans="1:20">
      <c r="A24" s="71" t="s">
        <v>16</v>
      </c>
      <c r="B24" t="s">
        <v>17</v>
      </c>
    </row>
    <row r="25" spans="1:20">
      <c r="A25" s="71" t="s">
        <v>18</v>
      </c>
      <c r="B25" t="s">
        <v>609</v>
      </c>
    </row>
    <row r="26" spans="1:20" ht="15.6">
      <c r="A26" s="75" t="s">
        <v>19</v>
      </c>
    </row>
    <row r="27" spans="1:20" ht="15.6">
      <c r="A27" s="16"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c r="T27" s="115"/>
    </row>
    <row r="28" spans="1:20" ht="15.6">
      <c r="A28" t="s">
        <v>1696</v>
      </c>
      <c r="B28" s="115">
        <v>0.09</v>
      </c>
      <c r="C28" t="s">
        <v>609</v>
      </c>
      <c r="D28" s="109" t="s">
        <v>2</v>
      </c>
      <c r="E28" t="s">
        <v>29</v>
      </c>
      <c r="F28" t="s">
        <v>14</v>
      </c>
      <c r="G28" t="s">
        <v>30</v>
      </c>
      <c r="H28">
        <v>1</v>
      </c>
      <c r="I28" s="115">
        <f>B28</f>
        <v>0.09</v>
      </c>
      <c r="J28">
        <v>7.2284161474004766E-2</v>
      </c>
      <c r="K28" t="s">
        <v>31</v>
      </c>
      <c r="L28" t="s">
        <v>31</v>
      </c>
      <c r="M28" t="s">
        <v>31</v>
      </c>
      <c r="O28" s="101" t="s">
        <v>892</v>
      </c>
      <c r="P28" s="114">
        <f>B28*100</f>
        <v>9</v>
      </c>
    </row>
    <row r="29" spans="1:20">
      <c r="A29" t="s">
        <v>1698</v>
      </c>
      <c r="B29" s="115">
        <v>0.09</v>
      </c>
      <c r="C29" t="s">
        <v>609</v>
      </c>
      <c r="D29" s="143" t="s">
        <v>2</v>
      </c>
      <c r="E29" t="s">
        <v>29</v>
      </c>
      <c r="F29" t="s">
        <v>14</v>
      </c>
      <c r="G29" t="s">
        <v>33</v>
      </c>
      <c r="H29">
        <v>1</v>
      </c>
      <c r="I29" s="115">
        <f>B29</f>
        <v>0.09</v>
      </c>
      <c r="J29">
        <v>7.2284161474004766E-2</v>
      </c>
      <c r="K29" t="s">
        <v>31</v>
      </c>
      <c r="L29" t="s">
        <v>31</v>
      </c>
      <c r="M29" t="s">
        <v>31</v>
      </c>
    </row>
    <row r="30" spans="1:20" ht="15.6">
      <c r="A30" s="76" t="s">
        <v>38</v>
      </c>
      <c r="B30" s="122">
        <f>P30</f>
        <v>0.36</v>
      </c>
      <c r="C30" t="s">
        <v>39</v>
      </c>
      <c r="D30" s="17" t="s">
        <v>40</v>
      </c>
      <c r="E30" t="s">
        <v>29</v>
      </c>
      <c r="F30" s="74" t="s">
        <v>35</v>
      </c>
      <c r="G30" t="s">
        <v>33</v>
      </c>
      <c r="H30">
        <v>2</v>
      </c>
      <c r="I30">
        <f t="shared" ref="I30:I31" si="3">LN(B30)</f>
        <v>-1.0216512475319814</v>
      </c>
      <c r="J30">
        <v>7.2284161474004766E-2</v>
      </c>
      <c r="K30" t="s">
        <v>31</v>
      </c>
      <c r="L30" t="s">
        <v>31</v>
      </c>
      <c r="M30" t="s">
        <v>31</v>
      </c>
      <c r="O30" s="101" t="s">
        <v>248</v>
      </c>
      <c r="P30" s="138">
        <v>0.36</v>
      </c>
    </row>
    <row r="31" spans="1:20" ht="15.6">
      <c r="A31" s="88" t="s">
        <v>310</v>
      </c>
      <c r="B31">
        <f>R31</f>
        <v>9.0000000000000011E-3</v>
      </c>
      <c r="C31" s="115" t="s">
        <v>37</v>
      </c>
      <c r="D31" s="17" t="s">
        <v>40</v>
      </c>
      <c r="E31" t="s">
        <v>29</v>
      </c>
      <c r="F31" t="s">
        <v>59</v>
      </c>
      <c r="G31" t="s">
        <v>33</v>
      </c>
      <c r="H31">
        <v>2</v>
      </c>
      <c r="I31">
        <f t="shared" si="3"/>
        <v>-4.7105307016459177</v>
      </c>
      <c r="J31">
        <v>7.2284161474004766E-2</v>
      </c>
      <c r="K31" t="s">
        <v>31</v>
      </c>
      <c r="L31" t="s">
        <v>31</v>
      </c>
      <c r="M31" t="s">
        <v>31</v>
      </c>
      <c r="O31" s="101" t="s">
        <v>580</v>
      </c>
      <c r="P31" s="138">
        <v>9</v>
      </c>
      <c r="Q31" t="s">
        <v>241</v>
      </c>
      <c r="R31">
        <f>P31*0.001</f>
        <v>9.0000000000000011E-3</v>
      </c>
    </row>
    <row r="32" spans="1:20" ht="15.6">
      <c r="A32" s="112" t="s">
        <v>871</v>
      </c>
      <c r="B32">
        <f t="shared" ref="B32:B33" si="4">R32</f>
        <v>1.6E-2</v>
      </c>
      <c r="C32" t="s">
        <v>37</v>
      </c>
      <c r="D32" s="17" t="s">
        <v>40</v>
      </c>
      <c r="E32" t="s">
        <v>29</v>
      </c>
      <c r="F32" s="74" t="s">
        <v>35</v>
      </c>
      <c r="G32" t="s">
        <v>33</v>
      </c>
      <c r="H32">
        <v>2</v>
      </c>
      <c r="I32">
        <f>LN(B32)</f>
        <v>-4.1351665567423561</v>
      </c>
      <c r="J32">
        <v>7.2284161474004766E-2</v>
      </c>
      <c r="K32" t="s">
        <v>31</v>
      </c>
      <c r="L32" t="s">
        <v>31</v>
      </c>
      <c r="M32" t="s">
        <v>31</v>
      </c>
      <c r="O32" s="101" t="s">
        <v>580</v>
      </c>
      <c r="P32" s="138">
        <v>16</v>
      </c>
      <c r="Q32" t="s">
        <v>241</v>
      </c>
      <c r="R32">
        <f>P32*0.001</f>
        <v>1.6E-2</v>
      </c>
    </row>
    <row r="33" spans="1:20" ht="15.6">
      <c r="A33" s="76" t="s">
        <v>799</v>
      </c>
      <c r="B33">
        <f t="shared" si="4"/>
        <v>13.9</v>
      </c>
      <c r="C33" t="s">
        <v>37</v>
      </c>
      <c r="D33" s="17" t="s">
        <v>40</v>
      </c>
      <c r="E33" t="s">
        <v>29</v>
      </c>
      <c r="F33" s="74" t="s">
        <v>74</v>
      </c>
      <c r="G33" t="s">
        <v>33</v>
      </c>
      <c r="H33">
        <v>2</v>
      </c>
      <c r="I33">
        <f t="shared" ref="I33:I34" si="5">LN(B33)</f>
        <v>2.631888840136646</v>
      </c>
      <c r="J33">
        <v>7.2284161474004766E-2</v>
      </c>
      <c r="K33" t="s">
        <v>31</v>
      </c>
      <c r="L33" t="s">
        <v>31</v>
      </c>
      <c r="M33" t="s">
        <v>31</v>
      </c>
      <c r="O33" s="101" t="s">
        <v>241</v>
      </c>
      <c r="P33" s="138">
        <v>13.9</v>
      </c>
      <c r="Q33" t="s">
        <v>241</v>
      </c>
      <c r="R33">
        <f>P33</f>
        <v>13.9</v>
      </c>
    </row>
    <row r="34" spans="1:20" ht="15.6">
      <c r="A34" s="88" t="s">
        <v>76</v>
      </c>
      <c r="B34">
        <f>R34</f>
        <v>1.3900000000000001E-2</v>
      </c>
      <c r="C34" t="s">
        <v>42</v>
      </c>
      <c r="D34" s="17" t="s">
        <v>40</v>
      </c>
      <c r="E34" t="s">
        <v>29</v>
      </c>
      <c r="F34" s="74" t="s">
        <v>74</v>
      </c>
      <c r="G34" t="s">
        <v>33</v>
      </c>
      <c r="H34">
        <v>2</v>
      </c>
      <c r="I34">
        <f t="shared" si="5"/>
        <v>-4.2758664388454912</v>
      </c>
      <c r="J34">
        <v>7.2284161474004766E-2</v>
      </c>
      <c r="K34" t="s">
        <v>31</v>
      </c>
      <c r="L34" t="s">
        <v>31</v>
      </c>
      <c r="M34" t="s">
        <v>31</v>
      </c>
      <c r="O34" s="118" t="s">
        <v>863</v>
      </c>
      <c r="P34" s="142">
        <v>13.9</v>
      </c>
      <c r="Q34" t="s">
        <v>251</v>
      </c>
      <c r="R34">
        <f>0.001*P34</f>
        <v>1.3900000000000001E-2</v>
      </c>
    </row>
    <row r="35" spans="1:20" s="70" customFormat="1" ht="15.6">
      <c r="A35" s="67" t="s">
        <v>5</v>
      </c>
      <c r="B35" s="123" t="s">
        <v>1698</v>
      </c>
    </row>
    <row r="36" spans="1:20">
      <c r="A36" s="71" t="s">
        <v>7</v>
      </c>
      <c r="B36" t="s">
        <v>1654</v>
      </c>
      <c r="C36" s="72"/>
    </row>
    <row r="37" spans="1:20">
      <c r="A37" s="126" t="s">
        <v>9</v>
      </c>
      <c r="B37" s="22" t="s">
        <v>1699</v>
      </c>
      <c r="C37" s="72"/>
    </row>
    <row r="38" spans="1:20" ht="15.75" customHeight="1">
      <c r="A38" s="71" t="s">
        <v>11</v>
      </c>
      <c r="B38" s="73" t="s">
        <v>796</v>
      </c>
    </row>
    <row r="39" spans="1:20">
      <c r="A39" s="71" t="s">
        <v>13</v>
      </c>
      <c r="B39" t="s">
        <v>14</v>
      </c>
    </row>
    <row r="40" spans="1:20">
      <c r="A40" s="71" t="s">
        <v>15</v>
      </c>
      <c r="B40" s="115">
        <f>B45</f>
        <v>0.09</v>
      </c>
    </row>
    <row r="41" spans="1:20">
      <c r="A41" s="71" t="s">
        <v>16</v>
      </c>
      <c r="B41" t="s">
        <v>17</v>
      </c>
    </row>
    <row r="42" spans="1:20">
      <c r="A42" s="71" t="s">
        <v>18</v>
      </c>
      <c r="B42" t="s">
        <v>609</v>
      </c>
    </row>
    <row r="43" spans="1:20" ht="15.6">
      <c r="A43" s="75" t="s">
        <v>19</v>
      </c>
    </row>
    <row r="44" spans="1:20" ht="15.6">
      <c r="A44" s="16" t="s">
        <v>20</v>
      </c>
      <c r="B44" s="16" t="s">
        <v>21</v>
      </c>
      <c r="C44" s="16" t="s">
        <v>18</v>
      </c>
      <c r="D44" s="16" t="s">
        <v>22</v>
      </c>
      <c r="E44" s="16" t="s">
        <v>7</v>
      </c>
      <c r="F44" s="16" t="s">
        <v>13</v>
      </c>
      <c r="G44" s="16" t="s">
        <v>16</v>
      </c>
      <c r="H44" s="16" t="s">
        <v>23</v>
      </c>
      <c r="I44" s="16" t="s">
        <v>24</v>
      </c>
      <c r="J44" s="16" t="s">
        <v>25</v>
      </c>
      <c r="K44" s="16" t="s">
        <v>26</v>
      </c>
      <c r="L44" s="16" t="s">
        <v>27</v>
      </c>
      <c r="M44" s="16" t="s">
        <v>28</v>
      </c>
      <c r="N44" s="16" t="s">
        <v>11</v>
      </c>
      <c r="T44" s="115"/>
    </row>
    <row r="45" spans="1:20">
      <c r="A45" t="s">
        <v>1698</v>
      </c>
      <c r="B45" s="115">
        <f>B29</f>
        <v>0.09</v>
      </c>
      <c r="C45" t="s">
        <v>609</v>
      </c>
      <c r="D45" s="143" t="s">
        <v>2</v>
      </c>
      <c r="E45" t="s">
        <v>29</v>
      </c>
      <c r="F45" t="s">
        <v>14</v>
      </c>
      <c r="G45" t="s">
        <v>30</v>
      </c>
      <c r="H45">
        <v>1</v>
      </c>
      <c r="I45" s="115">
        <f>B45</f>
        <v>0.09</v>
      </c>
      <c r="J45" t="s">
        <v>31</v>
      </c>
      <c r="K45" t="s">
        <v>31</v>
      </c>
      <c r="L45" t="s">
        <v>31</v>
      </c>
      <c r="M45" t="s">
        <v>31</v>
      </c>
    </row>
    <row r="46" spans="1:20">
      <c r="A46" s="88" t="s">
        <v>897</v>
      </c>
      <c r="B46" s="137">
        <v>1.1100000000000001</v>
      </c>
      <c r="C46" t="s">
        <v>37</v>
      </c>
      <c r="D46" t="s">
        <v>40</v>
      </c>
      <c r="E46" t="s">
        <v>29</v>
      </c>
      <c r="F46" t="s">
        <v>82</v>
      </c>
      <c r="G46" t="s">
        <v>33</v>
      </c>
      <c r="H46">
        <v>1</v>
      </c>
      <c r="I46" s="115">
        <f t="shared" ref="I46:I47" si="6">B46</f>
        <v>1.1100000000000001</v>
      </c>
      <c r="J46" t="s">
        <v>31</v>
      </c>
      <c r="K46" t="s">
        <v>31</v>
      </c>
      <c r="L46" t="s">
        <v>31</v>
      </c>
      <c r="M46" t="s">
        <v>31</v>
      </c>
    </row>
    <row r="47" spans="1:20">
      <c r="A47" s="88" t="s">
        <v>898</v>
      </c>
      <c r="B47" s="137">
        <v>1.1100000000000001</v>
      </c>
      <c r="C47" t="s">
        <v>37</v>
      </c>
      <c r="D47" t="s">
        <v>40</v>
      </c>
      <c r="E47" t="s">
        <v>29</v>
      </c>
      <c r="F47" t="s">
        <v>59</v>
      </c>
      <c r="G47" t="s">
        <v>33</v>
      </c>
      <c r="H47">
        <v>1</v>
      </c>
      <c r="I47" s="115">
        <f t="shared" si="6"/>
        <v>1.1100000000000001</v>
      </c>
      <c r="J47" t="s">
        <v>31</v>
      </c>
      <c r="K47" t="s">
        <v>31</v>
      </c>
      <c r="L47" t="s">
        <v>31</v>
      </c>
      <c r="M47" t="s">
        <v>31</v>
      </c>
    </row>
  </sheetData>
  <pageMargins left="0.7" right="0.7" top="0.75" bottom="0.75" header="0.3" footer="0.3"/>
  <pageSetup paperSize="9"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FA304-B65B-4C4F-9054-A62157BC295B}">
  <sheetPr>
    <tabColor theme="5" tint="0.79998168889431442"/>
  </sheetPr>
  <dimension ref="A1:Y57"/>
  <sheetViews>
    <sheetView topLeftCell="A3" zoomScale="70" zoomScaleNormal="70" workbookViewId="0">
      <selection activeCell="B5" sqref="B5"/>
    </sheetView>
  </sheetViews>
  <sheetFormatPr defaultRowHeight="14.45"/>
  <cols>
    <col min="1" max="1" width="74" customWidth="1"/>
    <col min="5" max="5" width="34.28515625" customWidth="1"/>
    <col min="6" max="6" width="16.7109375" customWidth="1"/>
    <col min="8" max="8" width="14.28515625" customWidth="1"/>
  </cols>
  <sheetData>
    <row r="1" spans="1:21">
      <c r="A1" t="s">
        <v>0</v>
      </c>
      <c r="B1">
        <v>14</v>
      </c>
      <c r="R1" s="59"/>
      <c r="S1" s="120"/>
    </row>
    <row r="2" spans="1:21" s="70" customFormat="1" ht="15.6">
      <c r="A2" s="67" t="s">
        <v>5</v>
      </c>
      <c r="B2" s="123" t="s">
        <v>1700</v>
      </c>
      <c r="C2" s="123"/>
      <c r="R2" s="144"/>
      <c r="S2" s="145"/>
    </row>
    <row r="3" spans="1:21">
      <c r="A3" s="71" t="s">
        <v>7</v>
      </c>
      <c r="B3" t="s">
        <v>1654</v>
      </c>
      <c r="D3" s="72"/>
      <c r="R3" s="59"/>
      <c r="S3" s="120"/>
    </row>
    <row r="4" spans="1:21">
      <c r="A4" s="126" t="s">
        <v>9</v>
      </c>
      <c r="B4" t="s">
        <v>1701</v>
      </c>
      <c r="D4" s="72"/>
    </row>
    <row r="5" spans="1:21" ht="15.75" customHeight="1">
      <c r="A5" s="71" t="s">
        <v>11</v>
      </c>
      <c r="B5" s="73" t="s">
        <v>796</v>
      </c>
      <c r="C5" s="73"/>
    </row>
    <row r="6" spans="1:21">
      <c r="A6" s="71" t="s">
        <v>13</v>
      </c>
      <c r="B6" t="s">
        <v>14</v>
      </c>
    </row>
    <row r="7" spans="1:21">
      <c r="A7" s="71" t="s">
        <v>15</v>
      </c>
      <c r="B7" s="23">
        <f>B12</f>
        <v>7.35</v>
      </c>
      <c r="C7" s="23"/>
    </row>
    <row r="8" spans="1:21">
      <c r="A8" s="71" t="s">
        <v>16</v>
      </c>
      <c r="B8" t="s">
        <v>17</v>
      </c>
    </row>
    <row r="9" spans="1:21">
      <c r="A9" s="71" t="s">
        <v>18</v>
      </c>
      <c r="B9" t="s">
        <v>37</v>
      </c>
    </row>
    <row r="10" spans="1:21" ht="15.6">
      <c r="A10" s="75" t="s">
        <v>19</v>
      </c>
    </row>
    <row r="11" spans="1:21" ht="15.6">
      <c r="A11" s="16" t="s">
        <v>20</v>
      </c>
      <c r="B11" s="16" t="s">
        <v>21</v>
      </c>
      <c r="C11" s="77" t="s">
        <v>217</v>
      </c>
      <c r="D11" s="16" t="s">
        <v>18</v>
      </c>
      <c r="E11" s="16" t="s">
        <v>22</v>
      </c>
      <c r="F11" s="16" t="s">
        <v>7</v>
      </c>
      <c r="G11" s="16" t="s">
        <v>13</v>
      </c>
      <c r="H11" s="16" t="s">
        <v>16</v>
      </c>
      <c r="I11" s="16" t="s">
        <v>23</v>
      </c>
      <c r="J11" s="16" t="s">
        <v>24</v>
      </c>
      <c r="K11" s="16" t="s">
        <v>25</v>
      </c>
      <c r="L11" s="16" t="s">
        <v>26</v>
      </c>
      <c r="M11" s="16" t="s">
        <v>27</v>
      </c>
      <c r="N11" s="16" t="s">
        <v>28</v>
      </c>
      <c r="O11" s="16" t="s">
        <v>11</v>
      </c>
      <c r="U11" s="115"/>
    </row>
    <row r="12" spans="1:21" ht="15.6">
      <c r="A12" t="s">
        <v>1700</v>
      </c>
      <c r="B12" s="23">
        <f>B43</f>
        <v>7.35</v>
      </c>
      <c r="D12" t="s">
        <v>37</v>
      </c>
      <c r="E12" s="109" t="s">
        <v>2</v>
      </c>
      <c r="F12" t="s">
        <v>29</v>
      </c>
      <c r="G12" t="s">
        <v>14</v>
      </c>
      <c r="H12" t="s">
        <v>30</v>
      </c>
      <c r="I12">
        <v>1</v>
      </c>
      <c r="J12">
        <f>B12</f>
        <v>7.35</v>
      </c>
      <c r="K12" t="s">
        <v>31</v>
      </c>
      <c r="L12" t="s">
        <v>31</v>
      </c>
      <c r="M12" t="s">
        <v>31</v>
      </c>
      <c r="N12" t="s">
        <v>31</v>
      </c>
      <c r="P12" s="59"/>
      <c r="Q12" s="120"/>
    </row>
    <row r="13" spans="1:21" ht="15.6">
      <c r="A13" t="s">
        <v>1702</v>
      </c>
      <c r="B13">
        <v>1</v>
      </c>
      <c r="D13" t="s">
        <v>18</v>
      </c>
      <c r="E13" s="109" t="s">
        <v>2</v>
      </c>
      <c r="F13" t="s">
        <v>29</v>
      </c>
      <c r="G13" t="s">
        <v>14</v>
      </c>
      <c r="H13" t="s">
        <v>33</v>
      </c>
      <c r="I13">
        <v>1</v>
      </c>
      <c r="J13">
        <v>1</v>
      </c>
      <c r="K13" t="s">
        <v>31</v>
      </c>
      <c r="L13" t="s">
        <v>31</v>
      </c>
      <c r="M13" t="s">
        <v>31</v>
      </c>
      <c r="N13" t="s">
        <v>31</v>
      </c>
    </row>
    <row r="14" spans="1:21" ht="15.6">
      <c r="A14" s="76" t="s">
        <v>38</v>
      </c>
      <c r="B14" s="122">
        <f>Q14</f>
        <v>0.25</v>
      </c>
      <c r="C14" s="122"/>
      <c r="D14" t="s">
        <v>39</v>
      </c>
      <c r="E14" s="17" t="s">
        <v>40</v>
      </c>
      <c r="F14" t="s">
        <v>29</v>
      </c>
      <c r="G14" s="74" t="s">
        <v>35</v>
      </c>
      <c r="H14" t="s">
        <v>33</v>
      </c>
      <c r="I14">
        <v>2</v>
      </c>
      <c r="J14">
        <f t="shared" ref="J14:J18" si="0">LN(B14)</f>
        <v>-1.3862943611198906</v>
      </c>
      <c r="K14" s="113">
        <v>9.6046863561492793E-2</v>
      </c>
      <c r="L14" t="s">
        <v>31</v>
      </c>
      <c r="M14" t="s">
        <v>31</v>
      </c>
      <c r="N14" t="s">
        <v>31</v>
      </c>
      <c r="P14" s="101" t="s">
        <v>248</v>
      </c>
      <c r="Q14" s="114">
        <v>0.25</v>
      </c>
    </row>
    <row r="15" spans="1:21" ht="15.6">
      <c r="A15" s="76" t="s">
        <v>38</v>
      </c>
      <c r="B15" s="122">
        <f>Q15</f>
        <v>0.5</v>
      </c>
      <c r="C15" s="122"/>
      <c r="D15" t="s">
        <v>39</v>
      </c>
      <c r="E15" s="17" t="s">
        <v>40</v>
      </c>
      <c r="F15" t="s">
        <v>29</v>
      </c>
      <c r="G15" s="74" t="s">
        <v>59</v>
      </c>
      <c r="H15" t="s">
        <v>33</v>
      </c>
      <c r="I15">
        <v>2</v>
      </c>
      <c r="J15">
        <f t="shared" si="0"/>
        <v>-0.69314718055994529</v>
      </c>
      <c r="K15" s="113">
        <v>9.6046863561492793E-2</v>
      </c>
      <c r="L15" t="s">
        <v>31</v>
      </c>
      <c r="M15" t="s">
        <v>31</v>
      </c>
      <c r="N15" t="s">
        <v>31</v>
      </c>
      <c r="P15" s="101" t="s">
        <v>248</v>
      </c>
      <c r="Q15" s="114">
        <v>0.5</v>
      </c>
    </row>
    <row r="16" spans="1:21" ht="15.6">
      <c r="A16" s="88" t="s">
        <v>901</v>
      </c>
      <c r="B16">
        <f>S16</f>
        <v>6.5000000000000002E-2</v>
      </c>
      <c r="D16" t="s">
        <v>37</v>
      </c>
      <c r="E16" s="17" t="s">
        <v>40</v>
      </c>
      <c r="F16" t="s">
        <v>29</v>
      </c>
      <c r="G16" t="s">
        <v>35</v>
      </c>
      <c r="H16" t="s">
        <v>33</v>
      </c>
      <c r="I16">
        <v>2</v>
      </c>
      <c r="J16">
        <f t="shared" si="0"/>
        <v>-2.7333680090865</v>
      </c>
      <c r="K16" s="113">
        <v>9.6046863561492793E-2</v>
      </c>
      <c r="L16" t="s">
        <v>31</v>
      </c>
      <c r="M16" t="s">
        <v>31</v>
      </c>
      <c r="N16" t="s">
        <v>31</v>
      </c>
      <c r="P16" s="101" t="s">
        <v>580</v>
      </c>
      <c r="Q16" s="114">
        <v>65</v>
      </c>
      <c r="R16" s="101" t="s">
        <v>241</v>
      </c>
      <c r="S16" s="114">
        <f>0.001*Q16</f>
        <v>6.5000000000000002E-2</v>
      </c>
    </row>
    <row r="17" spans="1:21" ht="15.6">
      <c r="A17" s="88" t="s">
        <v>902</v>
      </c>
      <c r="B17">
        <f>Q17</f>
        <v>1.2</v>
      </c>
      <c r="D17" t="s">
        <v>37</v>
      </c>
      <c r="E17" s="17" t="s">
        <v>40</v>
      </c>
      <c r="F17" t="s">
        <v>29</v>
      </c>
      <c r="G17" s="74" t="s">
        <v>74</v>
      </c>
      <c r="H17" t="s">
        <v>33</v>
      </c>
      <c r="I17">
        <v>2</v>
      </c>
      <c r="J17">
        <f t="shared" si="0"/>
        <v>0.18232155679395459</v>
      </c>
      <c r="K17" s="113">
        <v>9.6046863561492793E-2</v>
      </c>
      <c r="L17" t="s">
        <v>31</v>
      </c>
      <c r="M17" t="s">
        <v>31</v>
      </c>
      <c r="N17" t="s">
        <v>31</v>
      </c>
      <c r="P17" s="101" t="s">
        <v>241</v>
      </c>
      <c r="Q17" s="114">
        <v>1.2</v>
      </c>
    </row>
    <row r="18" spans="1:21" ht="15.6">
      <c r="A18" s="88" t="s">
        <v>793</v>
      </c>
      <c r="B18">
        <f>S18</f>
        <v>6.5000000000000002E-2</v>
      </c>
      <c r="D18" t="s">
        <v>37</v>
      </c>
      <c r="E18" s="17" t="s">
        <v>40</v>
      </c>
      <c r="F18" t="s">
        <v>29</v>
      </c>
      <c r="G18" s="74" t="s">
        <v>74</v>
      </c>
      <c r="H18" t="s">
        <v>33</v>
      </c>
      <c r="I18">
        <v>2</v>
      </c>
      <c r="J18">
        <f t="shared" si="0"/>
        <v>-2.7333680090865</v>
      </c>
      <c r="K18" s="113">
        <v>9.6046863561492793E-2</v>
      </c>
      <c r="L18" t="s">
        <v>31</v>
      </c>
      <c r="M18" t="s">
        <v>31</v>
      </c>
      <c r="N18" t="s">
        <v>31</v>
      </c>
      <c r="P18" s="101" t="s">
        <v>580</v>
      </c>
      <c r="Q18" s="119">
        <v>65</v>
      </c>
      <c r="R18" s="101" t="s">
        <v>241</v>
      </c>
      <c r="S18" s="114">
        <f>0.001*Q18</f>
        <v>6.5000000000000002E-2</v>
      </c>
    </row>
    <row r="19" spans="1:21" s="70" customFormat="1" ht="15.6">
      <c r="A19" s="67" t="s">
        <v>5</v>
      </c>
      <c r="B19" s="123" t="str">
        <f>A29</f>
        <v>production of machined casing, mass scaled activities, ACDC power module, battery charging, long-term</v>
      </c>
      <c r="C19" s="123"/>
    </row>
    <row r="20" spans="1:21">
      <c r="A20" s="71" t="s">
        <v>7</v>
      </c>
      <c r="B20" t="s">
        <v>1654</v>
      </c>
      <c r="D20" s="72"/>
    </row>
    <row r="21" spans="1:21">
      <c r="A21" s="126" t="s">
        <v>9</v>
      </c>
      <c r="B21" t="s">
        <v>1703</v>
      </c>
      <c r="D21" s="72"/>
    </row>
    <row r="22" spans="1:21" ht="15.75" customHeight="1">
      <c r="A22" s="71" t="s">
        <v>11</v>
      </c>
      <c r="B22" s="73" t="s">
        <v>796</v>
      </c>
      <c r="C22" s="73"/>
    </row>
    <row r="23" spans="1:21">
      <c r="A23" s="71" t="s">
        <v>13</v>
      </c>
      <c r="B23" t="s">
        <v>14</v>
      </c>
    </row>
    <row r="24" spans="1:21">
      <c r="A24" s="71" t="s">
        <v>15</v>
      </c>
      <c r="B24" s="23">
        <v>1</v>
      </c>
      <c r="C24" s="23"/>
    </row>
    <row r="25" spans="1:21">
      <c r="A25" s="71" t="s">
        <v>16</v>
      </c>
      <c r="B25" t="s">
        <v>17</v>
      </c>
    </row>
    <row r="26" spans="1:21">
      <c r="A26" s="71" t="s">
        <v>18</v>
      </c>
      <c r="B26" t="s">
        <v>18</v>
      </c>
    </row>
    <row r="27" spans="1:21" ht="15.6">
      <c r="A27" s="75" t="s">
        <v>19</v>
      </c>
    </row>
    <row r="28" spans="1:21" ht="15.6">
      <c r="A28" s="16" t="s">
        <v>20</v>
      </c>
      <c r="B28" s="16" t="s">
        <v>21</v>
      </c>
      <c r="C28" s="77" t="s">
        <v>217</v>
      </c>
      <c r="D28" s="16" t="s">
        <v>18</v>
      </c>
      <c r="E28" s="16" t="s">
        <v>22</v>
      </c>
      <c r="F28" s="16" t="s">
        <v>7</v>
      </c>
      <c r="G28" s="16" t="s">
        <v>13</v>
      </c>
      <c r="H28" s="16" t="s">
        <v>16</v>
      </c>
      <c r="I28" s="16" t="s">
        <v>23</v>
      </c>
      <c r="J28" s="16" t="s">
        <v>24</v>
      </c>
      <c r="K28" s="16" t="s">
        <v>25</v>
      </c>
      <c r="L28" s="16" t="s">
        <v>26</v>
      </c>
      <c r="M28" s="16" t="s">
        <v>27</v>
      </c>
      <c r="N28" s="16" t="s">
        <v>28</v>
      </c>
      <c r="O28" s="16" t="s">
        <v>11</v>
      </c>
      <c r="U28" s="115"/>
    </row>
    <row r="29" spans="1:21" ht="15.6">
      <c r="A29" t="s">
        <v>1702</v>
      </c>
      <c r="B29">
        <v>1</v>
      </c>
      <c r="D29" t="s">
        <v>18</v>
      </c>
      <c r="E29" s="109" t="s">
        <v>2</v>
      </c>
      <c r="F29" t="s">
        <v>29</v>
      </c>
      <c r="G29" t="s">
        <v>14</v>
      </c>
      <c r="H29" t="s">
        <v>30</v>
      </c>
      <c r="I29">
        <v>1</v>
      </c>
      <c r="J29">
        <v>1</v>
      </c>
      <c r="K29" t="s">
        <v>31</v>
      </c>
      <c r="L29" t="s">
        <v>31</v>
      </c>
      <c r="M29" t="s">
        <v>31</v>
      </c>
      <c r="N29" t="s">
        <v>31</v>
      </c>
    </row>
    <row r="30" spans="1:21">
      <c r="A30" t="s">
        <v>1704</v>
      </c>
      <c r="B30" s="23">
        <f>Q30</f>
        <v>7</v>
      </c>
      <c r="D30" t="s">
        <v>37</v>
      </c>
      <c r="E30" s="143" t="s">
        <v>2</v>
      </c>
      <c r="F30" t="s">
        <v>29</v>
      </c>
      <c r="G30" t="s">
        <v>14</v>
      </c>
      <c r="H30" t="s">
        <v>33</v>
      </c>
      <c r="I30">
        <v>2</v>
      </c>
      <c r="J30">
        <f>LN(B30)</f>
        <v>1.9459101490553132</v>
      </c>
      <c r="K30">
        <v>0.10307764064044142</v>
      </c>
      <c r="L30" t="s">
        <v>31</v>
      </c>
      <c r="M30" t="s">
        <v>31</v>
      </c>
      <c r="N30" t="s">
        <v>31</v>
      </c>
      <c r="Q30" s="137">
        <v>7</v>
      </c>
    </row>
    <row r="31" spans="1:21" ht="15.6">
      <c r="A31" s="76" t="s">
        <v>38</v>
      </c>
      <c r="B31" s="122">
        <f>Q31</f>
        <v>0.42</v>
      </c>
      <c r="C31" s="122"/>
      <c r="D31" t="s">
        <v>39</v>
      </c>
      <c r="E31" s="17" t="s">
        <v>40</v>
      </c>
      <c r="F31" t="s">
        <v>29</v>
      </c>
      <c r="G31" s="74" t="s">
        <v>59</v>
      </c>
      <c r="H31" t="s">
        <v>33</v>
      </c>
      <c r="I31">
        <v>2</v>
      </c>
      <c r="J31">
        <f t="shared" ref="J31:J37" si="1">LN(B31)</f>
        <v>-0.86750056770472306</v>
      </c>
      <c r="K31">
        <v>9.6046863561492793E-2</v>
      </c>
      <c r="L31" t="s">
        <v>31</v>
      </c>
      <c r="M31" t="s">
        <v>31</v>
      </c>
      <c r="N31" t="s">
        <v>31</v>
      </c>
      <c r="P31" s="101" t="s">
        <v>248</v>
      </c>
      <c r="Q31" s="114">
        <v>0.42</v>
      </c>
    </row>
    <row r="32" spans="1:21" ht="15.6">
      <c r="A32" s="88" t="s">
        <v>901</v>
      </c>
      <c r="B32">
        <f>S32</f>
        <v>9.8000000000000004E-2</v>
      </c>
      <c r="D32" t="s">
        <v>37</v>
      </c>
      <c r="E32" s="17" t="s">
        <v>40</v>
      </c>
      <c r="F32" t="s">
        <v>29</v>
      </c>
      <c r="G32" t="s">
        <v>35</v>
      </c>
      <c r="H32" t="s">
        <v>33</v>
      </c>
      <c r="I32">
        <v>2</v>
      </c>
      <c r="J32">
        <f t="shared" si="1"/>
        <v>-2.322787800311565</v>
      </c>
      <c r="K32">
        <v>9.6046863561492793E-2</v>
      </c>
      <c r="L32" t="s">
        <v>31</v>
      </c>
      <c r="M32" t="s">
        <v>31</v>
      </c>
      <c r="N32" t="s">
        <v>31</v>
      </c>
      <c r="P32" s="101" t="s">
        <v>580</v>
      </c>
      <c r="Q32" s="114">
        <v>98</v>
      </c>
      <c r="R32" s="101" t="s">
        <v>241</v>
      </c>
      <c r="S32" s="114">
        <f>0.001*Q32</f>
        <v>9.8000000000000004E-2</v>
      </c>
    </row>
    <row r="33" spans="1:21" ht="15.6">
      <c r="A33" s="88" t="s">
        <v>902</v>
      </c>
      <c r="B33">
        <f>Q33</f>
        <v>1.8</v>
      </c>
      <c r="D33" t="s">
        <v>37</v>
      </c>
      <c r="E33" s="17" t="s">
        <v>40</v>
      </c>
      <c r="F33" t="s">
        <v>29</v>
      </c>
      <c r="G33" s="74" t="s">
        <v>74</v>
      </c>
      <c r="H33" t="s">
        <v>33</v>
      </c>
      <c r="I33">
        <v>2</v>
      </c>
      <c r="J33">
        <f t="shared" si="1"/>
        <v>0.58778666490211906</v>
      </c>
      <c r="K33">
        <v>9.6046863561492793E-2</v>
      </c>
      <c r="L33" t="s">
        <v>31</v>
      </c>
      <c r="M33" t="s">
        <v>31</v>
      </c>
      <c r="N33" t="s">
        <v>31</v>
      </c>
      <c r="P33" s="101" t="s">
        <v>241</v>
      </c>
      <c r="Q33" s="114">
        <v>1.8</v>
      </c>
    </row>
    <row r="34" spans="1:21" ht="15.6">
      <c r="A34" s="146" t="s">
        <v>265</v>
      </c>
      <c r="B34">
        <f>S35</f>
        <v>0.371</v>
      </c>
      <c r="C34" s="59" t="s">
        <v>266</v>
      </c>
      <c r="D34" t="s">
        <v>37</v>
      </c>
      <c r="E34" s="17" t="s">
        <v>40</v>
      </c>
      <c r="F34" t="s">
        <v>29</v>
      </c>
      <c r="G34" s="74" t="s">
        <v>35</v>
      </c>
      <c r="H34" t="s">
        <v>33</v>
      </c>
      <c r="I34">
        <v>2</v>
      </c>
      <c r="J34">
        <f t="shared" si="1"/>
        <v>-0.99155321637470195</v>
      </c>
      <c r="K34">
        <v>9.6046863561492793E-2</v>
      </c>
      <c r="L34" t="s">
        <v>31</v>
      </c>
      <c r="M34" t="s">
        <v>31</v>
      </c>
      <c r="N34" t="s">
        <v>31</v>
      </c>
      <c r="P34" s="101"/>
      <c r="Q34" s="119">
        <v>371</v>
      </c>
    </row>
    <row r="35" spans="1:21" ht="15.6">
      <c r="A35" s="59" t="s">
        <v>263</v>
      </c>
      <c r="B35">
        <f>S35</f>
        <v>0.371</v>
      </c>
      <c r="D35" t="s">
        <v>37</v>
      </c>
      <c r="E35" s="17" t="s">
        <v>40</v>
      </c>
      <c r="F35" t="s">
        <v>29</v>
      </c>
      <c r="G35" t="s">
        <v>35</v>
      </c>
      <c r="H35" t="s">
        <v>33</v>
      </c>
      <c r="I35">
        <v>2</v>
      </c>
      <c r="J35">
        <f t="shared" si="1"/>
        <v>-0.99155321637470195</v>
      </c>
      <c r="K35">
        <v>9.6046863561492793E-2</v>
      </c>
      <c r="L35" t="s">
        <v>31</v>
      </c>
      <c r="M35" t="s">
        <v>31</v>
      </c>
      <c r="N35" t="s">
        <v>31</v>
      </c>
      <c r="P35" s="118" t="s">
        <v>580</v>
      </c>
      <c r="Q35" s="119">
        <v>371</v>
      </c>
      <c r="R35" s="101" t="s">
        <v>241</v>
      </c>
      <c r="S35" s="114">
        <f>0.001*Q35</f>
        <v>0.371</v>
      </c>
    </row>
    <row r="36" spans="1:21" ht="15.6">
      <c r="A36" s="88" t="s">
        <v>905</v>
      </c>
      <c r="B36">
        <f>S35</f>
        <v>0.371</v>
      </c>
      <c r="D36" t="s">
        <v>37</v>
      </c>
      <c r="E36" s="17" t="s">
        <v>40</v>
      </c>
      <c r="F36" t="s">
        <v>29</v>
      </c>
      <c r="G36" t="s">
        <v>59</v>
      </c>
      <c r="H36" t="s">
        <v>136</v>
      </c>
      <c r="I36">
        <v>2</v>
      </c>
      <c r="J36">
        <f t="shared" si="1"/>
        <v>-0.99155321637470195</v>
      </c>
      <c r="K36">
        <v>9.6046863561492793E-2</v>
      </c>
      <c r="L36" t="s">
        <v>31</v>
      </c>
      <c r="M36" t="s">
        <v>31</v>
      </c>
      <c r="N36" t="s">
        <v>31</v>
      </c>
      <c r="P36" s="118" t="s">
        <v>580</v>
      </c>
      <c r="Q36" s="119">
        <v>371</v>
      </c>
      <c r="R36" s="101" t="s">
        <v>241</v>
      </c>
      <c r="S36" s="114">
        <f>0.001*Q37</f>
        <v>9.8000000000000004E-2</v>
      </c>
    </row>
    <row r="37" spans="1:21" ht="15.6">
      <c r="A37" s="88" t="s">
        <v>793</v>
      </c>
      <c r="B37">
        <f>S37</f>
        <v>9.8000000000000004E-2</v>
      </c>
      <c r="D37" t="s">
        <v>37</v>
      </c>
      <c r="E37" s="17" t="s">
        <v>40</v>
      </c>
      <c r="F37" t="s">
        <v>29</v>
      </c>
      <c r="G37" s="74" t="s">
        <v>74</v>
      </c>
      <c r="H37" t="s">
        <v>33</v>
      </c>
      <c r="I37">
        <v>2</v>
      </c>
      <c r="J37">
        <f t="shared" si="1"/>
        <v>-2.322787800311565</v>
      </c>
      <c r="K37">
        <v>9.6046863561492793E-2</v>
      </c>
      <c r="L37" t="s">
        <v>31</v>
      </c>
      <c r="M37" t="s">
        <v>31</v>
      </c>
      <c r="N37" t="s">
        <v>31</v>
      </c>
      <c r="P37" s="118" t="s">
        <v>580</v>
      </c>
      <c r="Q37" s="119">
        <v>98</v>
      </c>
      <c r="R37" s="101" t="s">
        <v>241</v>
      </c>
      <c r="S37" s="114">
        <f>Q37*0.001</f>
        <v>9.8000000000000004E-2</v>
      </c>
    </row>
    <row r="38" spans="1:21" s="70" customFormat="1" ht="15.6">
      <c r="A38" s="67" t="s">
        <v>5</v>
      </c>
      <c r="B38" s="123" t="s">
        <v>1704</v>
      </c>
      <c r="C38" s="123"/>
    </row>
    <row r="39" spans="1:21">
      <c r="A39" s="71" t="s">
        <v>7</v>
      </c>
      <c r="B39" t="s">
        <v>1654</v>
      </c>
      <c r="D39" s="72"/>
    </row>
    <row r="40" spans="1:21">
      <c r="A40" s="126" t="s">
        <v>9</v>
      </c>
      <c r="B40" t="s">
        <v>1705</v>
      </c>
      <c r="D40" s="72"/>
    </row>
    <row r="41" spans="1:21" ht="15.75" customHeight="1">
      <c r="A41" s="71" t="s">
        <v>11</v>
      </c>
      <c r="B41" s="73" t="s">
        <v>796</v>
      </c>
      <c r="C41" s="73"/>
    </row>
    <row r="42" spans="1:21">
      <c r="A42" s="71" t="s">
        <v>13</v>
      </c>
      <c r="B42" t="s">
        <v>14</v>
      </c>
    </row>
    <row r="43" spans="1:21">
      <c r="A43" s="71" t="s">
        <v>15</v>
      </c>
      <c r="B43" s="23">
        <f>B48</f>
        <v>7.35</v>
      </c>
      <c r="C43" s="23"/>
    </row>
    <row r="44" spans="1:21">
      <c r="A44" s="71" t="s">
        <v>16</v>
      </c>
      <c r="B44" t="s">
        <v>17</v>
      </c>
    </row>
    <row r="45" spans="1:21">
      <c r="A45" s="71" t="s">
        <v>18</v>
      </c>
      <c r="B45" t="s">
        <v>37</v>
      </c>
    </row>
    <row r="46" spans="1:21" ht="15.6">
      <c r="A46" s="75" t="s">
        <v>19</v>
      </c>
    </row>
    <row r="47" spans="1:21" ht="15.6">
      <c r="A47" s="16" t="s">
        <v>20</v>
      </c>
      <c r="B47" s="16" t="s">
        <v>21</v>
      </c>
      <c r="C47" s="77" t="s">
        <v>217</v>
      </c>
      <c r="D47" s="16" t="s">
        <v>18</v>
      </c>
      <c r="E47" s="16" t="s">
        <v>22</v>
      </c>
      <c r="F47" s="16" t="s">
        <v>7</v>
      </c>
      <c r="G47" s="16" t="s">
        <v>13</v>
      </c>
      <c r="H47" s="16" t="s">
        <v>16</v>
      </c>
      <c r="I47" s="16" t="s">
        <v>23</v>
      </c>
      <c r="J47" s="16" t="s">
        <v>24</v>
      </c>
      <c r="K47" s="16" t="s">
        <v>25</v>
      </c>
      <c r="L47" s="16" t="s">
        <v>26</v>
      </c>
      <c r="M47" s="16" t="s">
        <v>27</v>
      </c>
      <c r="N47" s="16" t="s">
        <v>28</v>
      </c>
      <c r="O47" s="16" t="s">
        <v>11</v>
      </c>
      <c r="U47" s="115"/>
    </row>
    <row r="48" spans="1:21">
      <c r="A48" t="s">
        <v>1704</v>
      </c>
      <c r="B48">
        <f>Q48</f>
        <v>7.35</v>
      </c>
      <c r="D48" t="s">
        <v>37</v>
      </c>
      <c r="E48" s="143" t="s">
        <v>2</v>
      </c>
      <c r="F48" t="s">
        <v>29</v>
      </c>
      <c r="G48" t="s">
        <v>14</v>
      </c>
      <c r="H48" t="s">
        <v>30</v>
      </c>
      <c r="I48">
        <v>2</v>
      </c>
      <c r="J48">
        <f>LN(B48)</f>
        <v>1.9947003132247452</v>
      </c>
      <c r="K48">
        <v>0.10307764064044142</v>
      </c>
      <c r="L48" t="s">
        <v>31</v>
      </c>
      <c r="M48" t="s">
        <v>31</v>
      </c>
      <c r="N48" t="s">
        <v>31</v>
      </c>
      <c r="Q48" s="147">
        <v>7.35</v>
      </c>
    </row>
    <row r="49" spans="1:25" ht="15.6">
      <c r="A49" s="88" t="s">
        <v>905</v>
      </c>
      <c r="B49">
        <f>Q49</f>
        <v>7.79</v>
      </c>
      <c r="D49" t="s">
        <v>37</v>
      </c>
      <c r="E49" s="17" t="s">
        <v>40</v>
      </c>
      <c r="F49" t="s">
        <v>29</v>
      </c>
      <c r="G49" t="s">
        <v>59</v>
      </c>
      <c r="H49" t="s">
        <v>33</v>
      </c>
      <c r="I49">
        <v>2</v>
      </c>
      <c r="J49">
        <f t="shared" ref="J49:J57" si="2">LN(B49)</f>
        <v>2.0528408598826569</v>
      </c>
      <c r="K49">
        <v>4.9999999999998969E-3</v>
      </c>
      <c r="L49" t="s">
        <v>31</v>
      </c>
      <c r="M49" t="s">
        <v>31</v>
      </c>
      <c r="N49" t="s">
        <v>31</v>
      </c>
      <c r="P49" s="101" t="s">
        <v>241</v>
      </c>
      <c r="Q49" s="114">
        <v>7.79</v>
      </c>
    </row>
    <row r="50" spans="1:25" ht="15.6">
      <c r="A50" s="24" t="s">
        <v>69</v>
      </c>
      <c r="B50">
        <f>S50</f>
        <v>2.0731070496083555</v>
      </c>
      <c r="D50" t="s">
        <v>42</v>
      </c>
      <c r="E50" s="17" t="s">
        <v>40</v>
      </c>
      <c r="F50" t="s">
        <v>29</v>
      </c>
      <c r="G50" t="s">
        <v>249</v>
      </c>
      <c r="H50" t="s">
        <v>33</v>
      </c>
      <c r="I50">
        <v>2</v>
      </c>
      <c r="J50">
        <f t="shared" si="2"/>
        <v>0.72904847206648993</v>
      </c>
      <c r="K50">
        <v>4.9999999999998969E-3</v>
      </c>
      <c r="L50" t="s">
        <v>31</v>
      </c>
      <c r="M50" t="s">
        <v>31</v>
      </c>
      <c r="N50" t="s">
        <v>31</v>
      </c>
      <c r="P50" s="101" t="s">
        <v>250</v>
      </c>
      <c r="Q50" s="114">
        <v>79.400000000000006</v>
      </c>
      <c r="R50" t="s">
        <v>251</v>
      </c>
      <c r="S50">
        <f>Q50/38.3</f>
        <v>2.0731070496083555</v>
      </c>
      <c r="T50" s="148"/>
      <c r="U50" s="149"/>
      <c r="V50" s="149"/>
      <c r="W50" s="149"/>
      <c r="X50" s="149"/>
      <c r="Y50" s="149"/>
    </row>
    <row r="51" spans="1:25" ht="15.6">
      <c r="A51" s="76" t="s">
        <v>38</v>
      </c>
      <c r="B51" s="122">
        <f>Q51</f>
        <v>19.100000000000001</v>
      </c>
      <c r="C51" s="122"/>
      <c r="D51" t="s">
        <v>39</v>
      </c>
      <c r="E51" s="17" t="s">
        <v>40</v>
      </c>
      <c r="F51" t="s">
        <v>29</v>
      </c>
      <c r="G51" s="74" t="s">
        <v>59</v>
      </c>
      <c r="H51" t="s">
        <v>33</v>
      </c>
      <c r="I51">
        <v>2</v>
      </c>
      <c r="J51">
        <f t="shared" si="2"/>
        <v>2.9496883350525844</v>
      </c>
      <c r="K51">
        <v>4.9999999999998969E-3</v>
      </c>
      <c r="L51" t="s">
        <v>31</v>
      </c>
      <c r="M51" t="s">
        <v>31</v>
      </c>
      <c r="N51" t="s">
        <v>31</v>
      </c>
      <c r="P51" s="101" t="s">
        <v>248</v>
      </c>
      <c r="Q51" s="114">
        <v>19.100000000000001</v>
      </c>
    </row>
    <row r="52" spans="1:25" ht="15.6">
      <c r="A52" s="88" t="s">
        <v>907</v>
      </c>
      <c r="B52">
        <f>S52</f>
        <v>0.15</v>
      </c>
      <c r="D52" t="s">
        <v>37</v>
      </c>
      <c r="E52" s="17" t="s">
        <v>40</v>
      </c>
      <c r="F52" t="s">
        <v>29</v>
      </c>
      <c r="G52" t="s">
        <v>35</v>
      </c>
      <c r="H52" t="s">
        <v>33</v>
      </c>
      <c r="I52">
        <v>2</v>
      </c>
      <c r="J52">
        <f t="shared" si="2"/>
        <v>-1.8971199848858813</v>
      </c>
      <c r="K52">
        <v>0.10049875621120885</v>
      </c>
      <c r="L52" t="s">
        <v>31</v>
      </c>
      <c r="M52" t="s">
        <v>31</v>
      </c>
      <c r="N52" t="s">
        <v>31</v>
      </c>
      <c r="P52" s="101" t="s">
        <v>580</v>
      </c>
      <c r="Q52" s="114">
        <v>150</v>
      </c>
      <c r="R52" s="101" t="s">
        <v>241</v>
      </c>
      <c r="S52" s="114">
        <f t="shared" ref="S52:S54" si="3">0.001*Q52</f>
        <v>0.15</v>
      </c>
    </row>
    <row r="53" spans="1:25">
      <c r="A53" s="88" t="s">
        <v>908</v>
      </c>
      <c r="B53">
        <f>S53</f>
        <v>2.8999999999999998E-3</v>
      </c>
      <c r="D53" t="s">
        <v>37</v>
      </c>
      <c r="E53" t="s">
        <v>43</v>
      </c>
      <c r="F53" t="s">
        <v>44</v>
      </c>
      <c r="G53" t="s">
        <v>29</v>
      </c>
      <c r="H53" t="s">
        <v>45</v>
      </c>
      <c r="I53">
        <v>2</v>
      </c>
      <c r="J53">
        <f t="shared" si="2"/>
        <v>-5.843044541989709</v>
      </c>
      <c r="K53">
        <v>4.9999999999998969E-3</v>
      </c>
      <c r="L53" t="s">
        <v>31</v>
      </c>
      <c r="M53" t="s">
        <v>31</v>
      </c>
      <c r="N53" t="s">
        <v>31</v>
      </c>
      <c r="P53" s="116" t="s">
        <v>580</v>
      </c>
      <c r="Q53" s="150">
        <v>2.9</v>
      </c>
      <c r="R53" s="101" t="s">
        <v>241</v>
      </c>
      <c r="S53" s="114">
        <f t="shared" si="3"/>
        <v>2.8999999999999998E-3</v>
      </c>
    </row>
    <row r="54" spans="1:25" ht="15.6">
      <c r="A54" s="76" t="s">
        <v>758</v>
      </c>
      <c r="B54">
        <f>S54</f>
        <v>7.4000000000000003E-3</v>
      </c>
      <c r="D54" t="s">
        <v>37</v>
      </c>
      <c r="E54" s="17" t="s">
        <v>43</v>
      </c>
      <c r="F54" t="s">
        <v>44</v>
      </c>
      <c r="G54" s="74" t="s">
        <v>29</v>
      </c>
      <c r="H54" t="s">
        <v>45</v>
      </c>
      <c r="I54">
        <v>2</v>
      </c>
      <c r="J54">
        <f t="shared" si="2"/>
        <v>-4.9062752787720125</v>
      </c>
      <c r="K54">
        <v>8.9582364335844641E-2</v>
      </c>
      <c r="L54" t="s">
        <v>31</v>
      </c>
      <c r="M54" t="s">
        <v>31</v>
      </c>
      <c r="N54" t="s">
        <v>31</v>
      </c>
      <c r="P54" s="116" t="s">
        <v>580</v>
      </c>
      <c r="Q54" s="150">
        <v>7.4</v>
      </c>
      <c r="R54" s="101" t="s">
        <v>241</v>
      </c>
      <c r="S54" s="114">
        <f t="shared" si="3"/>
        <v>7.4000000000000003E-3</v>
      </c>
    </row>
    <row r="55" spans="1:25" ht="15.6">
      <c r="A55" s="146" t="s">
        <v>265</v>
      </c>
      <c r="B55">
        <f>Q56</f>
        <v>0.44</v>
      </c>
      <c r="C55" s="59" t="s">
        <v>266</v>
      </c>
      <c r="D55" t="s">
        <v>37</v>
      </c>
      <c r="E55" s="17" t="s">
        <v>40</v>
      </c>
      <c r="F55" t="s">
        <v>29</v>
      </c>
      <c r="G55" s="74" t="s">
        <v>35</v>
      </c>
      <c r="H55" t="s">
        <v>33</v>
      </c>
      <c r="I55">
        <v>2</v>
      </c>
      <c r="J55">
        <f t="shared" si="2"/>
        <v>-0.82098055206983023</v>
      </c>
      <c r="K55">
        <v>9.6046863561492793E-2</v>
      </c>
      <c r="L55" t="s">
        <v>31</v>
      </c>
      <c r="M55" t="s">
        <v>31</v>
      </c>
      <c r="N55" t="s">
        <v>31</v>
      </c>
      <c r="P55" s="116"/>
      <c r="Q55" s="119">
        <v>0.44</v>
      </c>
      <c r="R55" s="128"/>
      <c r="S55" s="129"/>
    </row>
    <row r="56" spans="1:25" ht="15.6">
      <c r="A56" s="59" t="s">
        <v>263</v>
      </c>
      <c r="B56">
        <f>Q56</f>
        <v>0.44</v>
      </c>
      <c r="D56" t="s">
        <v>37</v>
      </c>
      <c r="E56" s="17" t="s">
        <v>40</v>
      </c>
      <c r="F56" t="s">
        <v>29</v>
      </c>
      <c r="G56" t="s">
        <v>35</v>
      </c>
      <c r="H56" t="s">
        <v>33</v>
      </c>
      <c r="I56">
        <v>2</v>
      </c>
      <c r="J56">
        <f t="shared" si="2"/>
        <v>-0.82098055206983023</v>
      </c>
      <c r="K56">
        <v>4.9999999999998969E-3</v>
      </c>
      <c r="L56" t="s">
        <v>31</v>
      </c>
      <c r="M56" t="s">
        <v>31</v>
      </c>
      <c r="N56" t="s">
        <v>31</v>
      </c>
      <c r="P56" s="118" t="s">
        <v>241</v>
      </c>
      <c r="Q56" s="119">
        <v>0.44</v>
      </c>
    </row>
    <row r="57" spans="1:25" ht="15.6">
      <c r="A57" s="88" t="s">
        <v>905</v>
      </c>
      <c r="B57">
        <f>Q56</f>
        <v>0.44</v>
      </c>
      <c r="D57" t="s">
        <v>37</v>
      </c>
      <c r="E57" s="17" t="s">
        <v>40</v>
      </c>
      <c r="F57" t="s">
        <v>29</v>
      </c>
      <c r="G57" t="s">
        <v>59</v>
      </c>
      <c r="H57" t="s">
        <v>136</v>
      </c>
      <c r="I57">
        <v>2</v>
      </c>
      <c r="J57">
        <f t="shared" si="2"/>
        <v>-0.82098055206983023</v>
      </c>
      <c r="K57">
        <v>4.9999999999998969E-3</v>
      </c>
      <c r="L57" t="s">
        <v>31</v>
      </c>
      <c r="M57" t="s">
        <v>31</v>
      </c>
      <c r="N57" t="s">
        <v>31</v>
      </c>
      <c r="Q57" s="119">
        <v>0.44</v>
      </c>
    </row>
  </sheetData>
  <pageMargins left="0.7" right="0.7" top="0.75" bottom="0.75" header="0.3" footer="0.3"/>
  <pageSetup paperSize="9" orientation="portrai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31461-F154-46DA-87F6-95E6E1233AF2}">
  <sheetPr>
    <tabColor theme="5" tint="0.79998168889431442"/>
  </sheetPr>
  <dimension ref="A1:U363"/>
  <sheetViews>
    <sheetView zoomScale="70" zoomScaleNormal="70" workbookViewId="0">
      <selection activeCell="G39" sqref="G39"/>
    </sheetView>
  </sheetViews>
  <sheetFormatPr defaultRowHeight="14.4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6">
      <c r="A2" s="67" t="s">
        <v>5</v>
      </c>
      <c r="B2" s="68" t="s">
        <v>1675</v>
      </c>
      <c r="C2" s="69"/>
      <c r="D2" s="70"/>
      <c r="E2" s="70"/>
      <c r="F2" s="70"/>
      <c r="G2" s="70"/>
      <c r="H2" s="70"/>
      <c r="I2" s="70"/>
      <c r="J2" s="70"/>
      <c r="K2" s="70"/>
      <c r="L2" s="70"/>
      <c r="M2" s="70"/>
    </row>
    <row r="3" spans="1:18">
      <c r="A3" s="71" t="s">
        <v>7</v>
      </c>
      <c r="B3" t="s">
        <v>1654</v>
      </c>
      <c r="C3" s="72"/>
    </row>
    <row r="4" spans="1:18">
      <c r="A4" s="71" t="s">
        <v>9</v>
      </c>
      <c r="B4" t="s">
        <v>1706</v>
      </c>
      <c r="C4" s="72"/>
    </row>
    <row r="5" spans="1:18" ht="16.5" customHeight="1">
      <c r="A5" s="71" t="s">
        <v>11</v>
      </c>
      <c r="B5" s="73" t="s">
        <v>796</v>
      </c>
    </row>
    <row r="6" spans="1:18">
      <c r="A6" s="71" t="s">
        <v>13</v>
      </c>
      <c r="B6" t="s">
        <v>14</v>
      </c>
    </row>
    <row r="7" spans="1:18">
      <c r="A7" s="71" t="s">
        <v>15</v>
      </c>
      <c r="B7">
        <f>B12</f>
        <v>1</v>
      </c>
      <c r="O7" t="s">
        <v>1249</v>
      </c>
    </row>
    <row r="8" spans="1:18">
      <c r="A8" s="71" t="s">
        <v>16</v>
      </c>
      <c r="B8" t="s">
        <v>17</v>
      </c>
    </row>
    <row r="9" spans="1:18">
      <c r="A9" s="71" t="s">
        <v>18</v>
      </c>
      <c r="B9" t="s">
        <v>37</v>
      </c>
    </row>
    <row r="10" spans="1:18" ht="15.6">
      <c r="A10" s="75" t="s">
        <v>19</v>
      </c>
    </row>
    <row r="11" spans="1:18" ht="15.6">
      <c r="A11" s="7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8" ht="15.6">
      <c r="A12" s="76" t="s">
        <v>1675</v>
      </c>
      <c r="B12">
        <v>1</v>
      </c>
      <c r="C12" t="s">
        <v>37</v>
      </c>
      <c r="D12" s="109" t="s">
        <v>2</v>
      </c>
      <c r="E12" t="s">
        <v>29</v>
      </c>
      <c r="F12" s="74" t="s">
        <v>14</v>
      </c>
      <c r="G12" t="s">
        <v>30</v>
      </c>
      <c r="H12">
        <v>1</v>
      </c>
      <c r="I12">
        <v>2.8722813232690055E-2</v>
      </c>
      <c r="J12" t="s">
        <v>31</v>
      </c>
      <c r="K12" t="s">
        <v>31</v>
      </c>
      <c r="L12" t="s">
        <v>31</v>
      </c>
      <c r="M12" t="s">
        <v>31</v>
      </c>
    </row>
    <row r="13" spans="1:18" ht="15.6">
      <c r="A13" t="s">
        <v>1707</v>
      </c>
      <c r="B13">
        <v>1</v>
      </c>
      <c r="C13" t="s">
        <v>18</v>
      </c>
      <c r="D13" s="109" t="s">
        <v>2</v>
      </c>
      <c r="E13" t="s">
        <v>29</v>
      </c>
      <c r="F13" s="74" t="s">
        <v>14</v>
      </c>
      <c r="G13" t="s">
        <v>33</v>
      </c>
      <c r="H13">
        <v>1</v>
      </c>
      <c r="I13">
        <v>1</v>
      </c>
      <c r="J13" t="s">
        <v>31</v>
      </c>
      <c r="K13" t="s">
        <v>31</v>
      </c>
      <c r="L13" t="s">
        <v>31</v>
      </c>
      <c r="M13" t="s">
        <v>31</v>
      </c>
    </row>
    <row r="14" spans="1:18" ht="15.6">
      <c r="A14" t="s">
        <v>1708</v>
      </c>
      <c r="B14">
        <v>1</v>
      </c>
      <c r="C14" t="s">
        <v>18</v>
      </c>
      <c r="D14" s="109" t="s">
        <v>2</v>
      </c>
      <c r="E14" t="s">
        <v>29</v>
      </c>
      <c r="F14" s="74" t="s">
        <v>14</v>
      </c>
      <c r="G14" t="s">
        <v>33</v>
      </c>
      <c r="H14">
        <v>1</v>
      </c>
      <c r="I14">
        <v>1</v>
      </c>
      <c r="J14" t="s">
        <v>31</v>
      </c>
      <c r="K14" t="s">
        <v>31</v>
      </c>
      <c r="L14" t="s">
        <v>31</v>
      </c>
      <c r="M14" t="s">
        <v>31</v>
      </c>
    </row>
    <row r="15" spans="1:18" ht="15.6">
      <c r="A15" s="88" t="s">
        <v>179</v>
      </c>
      <c r="B15" s="87">
        <f>R15</f>
        <v>2.6000000000000003E-4</v>
      </c>
      <c r="C15" t="s">
        <v>37</v>
      </c>
      <c r="D15" s="17" t="s">
        <v>40</v>
      </c>
      <c r="E15" t="s">
        <v>29</v>
      </c>
      <c r="F15" s="74" t="s">
        <v>35</v>
      </c>
      <c r="G15" t="s">
        <v>33</v>
      </c>
      <c r="H15">
        <v>2</v>
      </c>
      <c r="I15">
        <f>LN(B15)</f>
        <v>-8.2548289269487469</v>
      </c>
      <c r="J15">
        <v>2.8722813232690055E-2</v>
      </c>
      <c r="K15" t="s">
        <v>31</v>
      </c>
      <c r="L15" t="s">
        <v>31</v>
      </c>
      <c r="M15" t="s">
        <v>31</v>
      </c>
      <c r="O15" s="78" t="s">
        <v>580</v>
      </c>
      <c r="P15" s="151">
        <v>0.26</v>
      </c>
      <c r="Q15" t="s">
        <v>241</v>
      </c>
      <c r="R15" s="87">
        <f>P15*0.001</f>
        <v>2.6000000000000003E-4</v>
      </c>
    </row>
    <row r="16" spans="1:18" ht="15.6">
      <c r="A16" s="67" t="s">
        <v>5</v>
      </c>
      <c r="B16" s="68" t="s">
        <v>1708</v>
      </c>
      <c r="C16" s="69"/>
      <c r="D16" s="70"/>
      <c r="E16" s="70"/>
      <c r="F16" s="70"/>
      <c r="G16" s="70"/>
      <c r="H16" s="70"/>
      <c r="I16" s="70"/>
      <c r="J16" s="70"/>
      <c r="K16" s="70"/>
      <c r="L16" s="70"/>
      <c r="M16" s="70"/>
    </row>
    <row r="17" spans="1:18">
      <c r="A17" s="71" t="s">
        <v>7</v>
      </c>
      <c r="B17" t="s">
        <v>1654</v>
      </c>
      <c r="C17" s="72"/>
    </row>
    <row r="18" spans="1:18">
      <c r="A18" s="71" t="s">
        <v>9</v>
      </c>
      <c r="B18" t="s">
        <v>1709</v>
      </c>
      <c r="C18" s="72"/>
    </row>
    <row r="19" spans="1:18" ht="16.5" customHeight="1">
      <c r="A19" s="71" t="s">
        <v>11</v>
      </c>
      <c r="B19" s="73" t="s">
        <v>796</v>
      </c>
    </row>
    <row r="20" spans="1:18">
      <c r="A20" s="71" t="s">
        <v>13</v>
      </c>
      <c r="B20" t="s">
        <v>14</v>
      </c>
    </row>
    <row r="21" spans="1:18">
      <c r="A21" s="71" t="s">
        <v>15</v>
      </c>
      <c r="B21">
        <v>1</v>
      </c>
    </row>
    <row r="22" spans="1:18">
      <c r="A22" s="71" t="s">
        <v>16</v>
      </c>
      <c r="B22" t="s">
        <v>17</v>
      </c>
    </row>
    <row r="23" spans="1:18">
      <c r="A23" s="71" t="s">
        <v>18</v>
      </c>
      <c r="B23" t="s">
        <v>18</v>
      </c>
    </row>
    <row r="24" spans="1:18" ht="15.6">
      <c r="A24" s="75" t="s">
        <v>19</v>
      </c>
    </row>
    <row r="25" spans="1:18" ht="15.6">
      <c r="A25" s="75" t="s">
        <v>20</v>
      </c>
      <c r="B25" s="16" t="s">
        <v>21</v>
      </c>
      <c r="C25" s="16" t="s">
        <v>18</v>
      </c>
      <c r="D25" s="16" t="s">
        <v>22</v>
      </c>
      <c r="E25" s="16" t="s">
        <v>7</v>
      </c>
      <c r="F25" s="16" t="s">
        <v>13</v>
      </c>
      <c r="G25" s="16" t="s">
        <v>16</v>
      </c>
      <c r="H25" s="16" t="s">
        <v>23</v>
      </c>
      <c r="I25" s="16" t="s">
        <v>24</v>
      </c>
      <c r="J25" s="16" t="s">
        <v>25</v>
      </c>
      <c r="K25" s="16" t="s">
        <v>26</v>
      </c>
      <c r="L25" s="16" t="s">
        <v>27</v>
      </c>
      <c r="M25" s="16" t="s">
        <v>28</v>
      </c>
      <c r="N25" s="16" t="s">
        <v>11</v>
      </c>
    </row>
    <row r="26" spans="1:18" ht="15.6">
      <c r="A26" t="s">
        <v>1708</v>
      </c>
      <c r="B26">
        <v>1</v>
      </c>
      <c r="C26" t="s">
        <v>18</v>
      </c>
      <c r="D26" s="109" t="s">
        <v>2</v>
      </c>
      <c r="E26" t="s">
        <v>29</v>
      </c>
      <c r="F26" s="74" t="s">
        <v>14</v>
      </c>
      <c r="G26" t="s">
        <v>30</v>
      </c>
      <c r="H26">
        <v>1</v>
      </c>
      <c r="I26">
        <v>1</v>
      </c>
      <c r="J26" t="s">
        <v>31</v>
      </c>
      <c r="K26" t="s">
        <v>31</v>
      </c>
      <c r="L26" t="s">
        <v>31</v>
      </c>
      <c r="M26" t="s">
        <v>31</v>
      </c>
    </row>
    <row r="27" spans="1:18" ht="15.6">
      <c r="A27" s="88" t="s">
        <v>614</v>
      </c>
      <c r="B27">
        <f>P27</f>
        <v>0.51</v>
      </c>
      <c r="C27" t="s">
        <v>37</v>
      </c>
      <c r="D27" s="17" t="s">
        <v>40</v>
      </c>
      <c r="E27" t="s">
        <v>29</v>
      </c>
      <c r="F27" t="s">
        <v>59</v>
      </c>
      <c r="G27" t="s">
        <v>33</v>
      </c>
      <c r="H27">
        <v>1</v>
      </c>
      <c r="I27">
        <f>B27</f>
        <v>0.51</v>
      </c>
      <c r="J27" t="s">
        <v>31</v>
      </c>
      <c r="K27" t="s">
        <v>31</v>
      </c>
      <c r="L27" t="s">
        <v>31</v>
      </c>
      <c r="M27" t="s">
        <v>31</v>
      </c>
      <c r="O27" t="s">
        <v>241</v>
      </c>
      <c r="P27">
        <v>0.51</v>
      </c>
    </row>
    <row r="28" spans="1:18">
      <c r="A28" s="88" t="s">
        <v>913</v>
      </c>
      <c r="B28">
        <f>R28</f>
        <v>0.33700000000000002</v>
      </c>
      <c r="C28" t="s">
        <v>37</v>
      </c>
      <c r="D28" t="s">
        <v>40</v>
      </c>
      <c r="E28" t="s">
        <v>29</v>
      </c>
      <c r="F28" t="s">
        <v>59</v>
      </c>
      <c r="G28" t="s">
        <v>33</v>
      </c>
      <c r="H28">
        <v>2</v>
      </c>
      <c r="I28">
        <f>LN(B28)</f>
        <v>-1.0876723486297752</v>
      </c>
      <c r="J28">
        <v>3.7749172176353707E-2</v>
      </c>
      <c r="K28" t="s">
        <v>31</v>
      </c>
      <c r="L28" t="s">
        <v>31</v>
      </c>
      <c r="M28" t="s">
        <v>31</v>
      </c>
      <c r="O28" s="101" t="s">
        <v>580</v>
      </c>
      <c r="P28" s="114">
        <v>337</v>
      </c>
      <c r="Q28" t="s">
        <v>241</v>
      </c>
      <c r="R28">
        <f>P28*0.001</f>
        <v>0.33700000000000002</v>
      </c>
    </row>
    <row r="29" spans="1:18">
      <c r="A29" s="88" t="s">
        <v>914</v>
      </c>
      <c r="B29">
        <f>R29</f>
        <v>2.0100000000000003E-2</v>
      </c>
      <c r="C29" t="s">
        <v>37</v>
      </c>
      <c r="D29" t="s">
        <v>40</v>
      </c>
      <c r="E29" t="s">
        <v>29</v>
      </c>
      <c r="F29" t="s">
        <v>59</v>
      </c>
      <c r="G29" t="s">
        <v>33</v>
      </c>
      <c r="H29">
        <v>2</v>
      </c>
      <c r="I29">
        <f>LN(B29)</f>
        <v>-3.907035463917107</v>
      </c>
      <c r="J29">
        <v>3.7749172176353707E-2</v>
      </c>
      <c r="K29" t="s">
        <v>31</v>
      </c>
      <c r="L29" t="s">
        <v>31</v>
      </c>
      <c r="M29" t="s">
        <v>31</v>
      </c>
      <c r="O29" s="101" t="s">
        <v>580</v>
      </c>
      <c r="P29" s="114">
        <v>20.100000000000001</v>
      </c>
      <c r="Q29" t="s">
        <v>241</v>
      </c>
      <c r="R29">
        <f t="shared" ref="R29:R30" si="0">P29*0.001</f>
        <v>2.0100000000000003E-2</v>
      </c>
    </row>
    <row r="30" spans="1:18">
      <c r="A30" s="88" t="s">
        <v>915</v>
      </c>
      <c r="B30">
        <f>R30</f>
        <v>0.152</v>
      </c>
      <c r="C30" t="s">
        <v>37</v>
      </c>
      <c r="D30" t="s">
        <v>40</v>
      </c>
      <c r="E30" t="s">
        <v>29</v>
      </c>
      <c r="F30" t="s">
        <v>59</v>
      </c>
      <c r="G30" t="s">
        <v>33</v>
      </c>
      <c r="H30">
        <v>2</v>
      </c>
      <c r="I30">
        <f>LN(B30)</f>
        <v>-1.8838747581358606</v>
      </c>
      <c r="J30">
        <v>3.7749172176353707E-2</v>
      </c>
      <c r="K30" t="s">
        <v>31</v>
      </c>
      <c r="L30" t="s">
        <v>31</v>
      </c>
      <c r="M30" t="s">
        <v>31</v>
      </c>
      <c r="O30" s="101" t="s">
        <v>580</v>
      </c>
      <c r="P30" s="114">
        <v>152</v>
      </c>
      <c r="Q30" t="s">
        <v>241</v>
      </c>
      <c r="R30">
        <f t="shared" si="0"/>
        <v>0.152</v>
      </c>
    </row>
    <row r="31" spans="1:18" ht="15.6">
      <c r="A31" s="67" t="s">
        <v>5</v>
      </c>
      <c r="B31" s="68" t="s">
        <v>1707</v>
      </c>
      <c r="C31" s="69"/>
      <c r="D31" s="70"/>
      <c r="E31" s="70"/>
      <c r="F31" s="70"/>
      <c r="G31" s="70"/>
      <c r="H31" s="70"/>
      <c r="I31" s="70"/>
      <c r="J31" s="70"/>
      <c r="K31" s="70"/>
      <c r="L31" s="70"/>
      <c r="M31" s="70"/>
    </row>
    <row r="32" spans="1:18">
      <c r="A32" s="71" t="s">
        <v>7</v>
      </c>
      <c r="B32" t="s">
        <v>1654</v>
      </c>
      <c r="C32" s="72"/>
    </row>
    <row r="33" spans="1:18">
      <c r="A33" s="71" t="s">
        <v>9</v>
      </c>
      <c r="B33" t="s">
        <v>1710</v>
      </c>
      <c r="C33" s="72"/>
    </row>
    <row r="34" spans="1:18" ht="18" customHeight="1">
      <c r="A34" s="71" t="s">
        <v>11</v>
      </c>
      <c r="B34" s="73" t="s">
        <v>796</v>
      </c>
    </row>
    <row r="35" spans="1:18">
      <c r="A35" s="71" t="s">
        <v>13</v>
      </c>
      <c r="B35" t="s">
        <v>14</v>
      </c>
    </row>
    <row r="36" spans="1:18">
      <c r="A36" s="71" t="s">
        <v>15</v>
      </c>
      <c r="B36">
        <v>1</v>
      </c>
    </row>
    <row r="37" spans="1:18">
      <c r="A37" s="71" t="s">
        <v>16</v>
      </c>
      <c r="B37" t="s">
        <v>17</v>
      </c>
    </row>
    <row r="38" spans="1:18">
      <c r="A38" s="71" t="s">
        <v>18</v>
      </c>
      <c r="B38" t="s">
        <v>18</v>
      </c>
    </row>
    <row r="39" spans="1:18" ht="15.6">
      <c r="A39" s="75" t="s">
        <v>19</v>
      </c>
    </row>
    <row r="40" spans="1:18" ht="15.6">
      <c r="A40" s="75" t="s">
        <v>20</v>
      </c>
      <c r="B40" s="16" t="s">
        <v>21</v>
      </c>
      <c r="C40" s="16" t="s">
        <v>18</v>
      </c>
      <c r="D40" s="16" t="s">
        <v>22</v>
      </c>
      <c r="E40" s="16" t="s">
        <v>7</v>
      </c>
      <c r="F40" s="16" t="s">
        <v>13</v>
      </c>
      <c r="G40" s="16" t="s">
        <v>16</v>
      </c>
      <c r="H40" s="16" t="s">
        <v>23</v>
      </c>
      <c r="I40" s="16" t="s">
        <v>24</v>
      </c>
      <c r="J40" s="16" t="s">
        <v>25</v>
      </c>
      <c r="K40" s="16" t="s">
        <v>26</v>
      </c>
      <c r="L40" s="16" t="s">
        <v>27</v>
      </c>
      <c r="M40" s="16" t="s">
        <v>28</v>
      </c>
      <c r="N40" s="16" t="s">
        <v>11</v>
      </c>
    </row>
    <row r="41" spans="1:18" ht="15.6">
      <c r="A41" t="s">
        <v>1707</v>
      </c>
      <c r="B41">
        <v>1</v>
      </c>
      <c r="C41" t="s">
        <v>18</v>
      </c>
      <c r="D41" s="109" t="s">
        <v>2</v>
      </c>
      <c r="E41" t="s">
        <v>29</v>
      </c>
      <c r="F41" s="74" t="s">
        <v>14</v>
      </c>
      <c r="G41" t="s">
        <v>30</v>
      </c>
      <c r="H41">
        <v>1</v>
      </c>
      <c r="I41">
        <v>1</v>
      </c>
      <c r="J41" t="s">
        <v>31</v>
      </c>
      <c r="K41" t="s">
        <v>31</v>
      </c>
      <c r="L41" t="s">
        <v>31</v>
      </c>
      <c r="M41" t="s">
        <v>31</v>
      </c>
    </row>
    <row r="42" spans="1:18" ht="15.6">
      <c r="A42" s="88" t="s">
        <v>1711</v>
      </c>
      <c r="B42">
        <f>B55</f>
        <v>0.18099999999999999</v>
      </c>
      <c r="C42" t="s">
        <v>37</v>
      </c>
      <c r="D42" s="109" t="s">
        <v>2</v>
      </c>
      <c r="E42" t="s">
        <v>29</v>
      </c>
      <c r="F42" s="74" t="s">
        <v>14</v>
      </c>
      <c r="G42" t="s">
        <v>33</v>
      </c>
      <c r="H42">
        <v>1</v>
      </c>
      <c r="I42">
        <f>B42</f>
        <v>0.18099999999999999</v>
      </c>
      <c r="J42" t="s">
        <v>31</v>
      </c>
      <c r="K42" t="s">
        <v>31</v>
      </c>
      <c r="L42" t="s">
        <v>31</v>
      </c>
      <c r="M42" t="s">
        <v>31</v>
      </c>
      <c r="O42" s="59"/>
      <c r="P42" s="120"/>
    </row>
    <row r="43" spans="1:18" ht="15.6">
      <c r="A43" s="88" t="s">
        <v>1712</v>
      </c>
      <c r="B43">
        <v>1</v>
      </c>
      <c r="C43" t="s">
        <v>18</v>
      </c>
      <c r="D43" s="109" t="s">
        <v>2</v>
      </c>
      <c r="E43" t="s">
        <v>29</v>
      </c>
      <c r="F43" s="74" t="s">
        <v>14</v>
      </c>
      <c r="G43" t="s">
        <v>33</v>
      </c>
      <c r="H43">
        <v>1</v>
      </c>
      <c r="I43">
        <v>1</v>
      </c>
      <c r="J43" t="s">
        <v>31</v>
      </c>
      <c r="K43" t="s">
        <v>31</v>
      </c>
      <c r="L43" t="s">
        <v>31</v>
      </c>
      <c r="M43" t="s">
        <v>31</v>
      </c>
    </row>
    <row r="44" spans="1:18" ht="15.6">
      <c r="A44" s="76" t="s">
        <v>38</v>
      </c>
      <c r="B44" s="23">
        <f>R44</f>
        <v>0.03</v>
      </c>
      <c r="C44" t="s">
        <v>39</v>
      </c>
      <c r="D44" s="17" t="s">
        <v>40</v>
      </c>
      <c r="E44" t="s">
        <v>29</v>
      </c>
      <c r="F44" s="74" t="s">
        <v>35</v>
      </c>
      <c r="G44" t="s">
        <v>33</v>
      </c>
      <c r="H44">
        <v>2</v>
      </c>
      <c r="I44">
        <f t="shared" ref="I44" si="1">LN(B44)</f>
        <v>-3.5065578973199818</v>
      </c>
      <c r="J44">
        <v>7.2284161474004766E-2</v>
      </c>
      <c r="K44" t="s">
        <v>31</v>
      </c>
      <c r="L44" t="s">
        <v>31</v>
      </c>
      <c r="M44" t="s">
        <v>31</v>
      </c>
      <c r="O44" s="78" t="s">
        <v>248</v>
      </c>
      <c r="P44" s="114">
        <v>0.03</v>
      </c>
      <c r="Q44" t="s">
        <v>248</v>
      </c>
      <c r="R44" s="23">
        <f>P44</f>
        <v>0.03</v>
      </c>
    </row>
    <row r="45" spans="1:18" ht="15.6">
      <c r="A45" s="67" t="s">
        <v>5</v>
      </c>
      <c r="B45" s="68" t="s">
        <v>1711</v>
      </c>
      <c r="C45" s="69"/>
      <c r="D45" s="70"/>
      <c r="E45" s="70"/>
      <c r="F45" s="70"/>
      <c r="G45" s="70"/>
      <c r="H45" s="70"/>
      <c r="I45" s="70"/>
      <c r="J45" s="70"/>
      <c r="K45" s="70"/>
      <c r="L45" s="70"/>
      <c r="M45" s="70"/>
    </row>
    <row r="46" spans="1:18">
      <c r="A46" s="71" t="s">
        <v>7</v>
      </c>
      <c r="B46" t="s">
        <v>1654</v>
      </c>
      <c r="C46" s="72"/>
    </row>
    <row r="47" spans="1:18">
      <c r="A47" s="71" t="s">
        <v>9</v>
      </c>
      <c r="B47" t="s">
        <v>1713</v>
      </c>
      <c r="C47" s="72"/>
    </row>
    <row r="48" spans="1:18" ht="11.25" customHeight="1">
      <c r="A48" s="71" t="s">
        <v>11</v>
      </c>
      <c r="B48" s="73" t="s">
        <v>796</v>
      </c>
    </row>
    <row r="49" spans="1:18">
      <c r="A49" s="71" t="s">
        <v>13</v>
      </c>
      <c r="B49" t="s">
        <v>14</v>
      </c>
    </row>
    <row r="50" spans="1:18">
      <c r="A50" s="71" t="s">
        <v>15</v>
      </c>
      <c r="B50">
        <f>B55</f>
        <v>0.18099999999999999</v>
      </c>
    </row>
    <row r="51" spans="1:18">
      <c r="A51" s="71" t="s">
        <v>16</v>
      </c>
      <c r="B51" t="s">
        <v>17</v>
      </c>
    </row>
    <row r="52" spans="1:18">
      <c r="A52" s="71" t="s">
        <v>18</v>
      </c>
      <c r="B52" t="s">
        <v>37</v>
      </c>
    </row>
    <row r="53" spans="1:18" ht="15.6">
      <c r="A53" s="75" t="s">
        <v>19</v>
      </c>
    </row>
    <row r="54" spans="1:18" ht="15.6">
      <c r="A54" s="75" t="s">
        <v>20</v>
      </c>
      <c r="B54" s="16" t="s">
        <v>21</v>
      </c>
      <c r="C54" s="16" t="s">
        <v>18</v>
      </c>
      <c r="D54" s="16" t="s">
        <v>22</v>
      </c>
      <c r="E54" s="16" t="s">
        <v>7</v>
      </c>
      <c r="F54" s="16" t="s">
        <v>13</v>
      </c>
      <c r="G54" s="16" t="s">
        <v>16</v>
      </c>
      <c r="H54" s="16" t="s">
        <v>23</v>
      </c>
      <c r="I54" s="16" t="s">
        <v>24</v>
      </c>
      <c r="J54" s="16" t="s">
        <v>25</v>
      </c>
      <c r="K54" s="16" t="s">
        <v>26</v>
      </c>
      <c r="L54" s="16" t="s">
        <v>27</v>
      </c>
      <c r="M54" s="16" t="s">
        <v>28</v>
      </c>
      <c r="N54" s="16" t="s">
        <v>11</v>
      </c>
    </row>
    <row r="55" spans="1:18" ht="15.6">
      <c r="A55" s="88" t="s">
        <v>1711</v>
      </c>
      <c r="B55">
        <f>P55</f>
        <v>0.18099999999999999</v>
      </c>
      <c r="C55" t="s">
        <v>37</v>
      </c>
      <c r="D55" s="109" t="s">
        <v>2</v>
      </c>
      <c r="E55" t="s">
        <v>29</v>
      </c>
      <c r="F55" s="74" t="s">
        <v>14</v>
      </c>
      <c r="G55" t="s">
        <v>30</v>
      </c>
      <c r="H55">
        <v>1</v>
      </c>
      <c r="I55">
        <f>B55</f>
        <v>0.18099999999999999</v>
      </c>
      <c r="J55" t="s">
        <v>31</v>
      </c>
      <c r="K55" t="s">
        <v>31</v>
      </c>
      <c r="L55" t="s">
        <v>31</v>
      </c>
      <c r="M55" t="s">
        <v>31</v>
      </c>
      <c r="O55" s="152" t="s">
        <v>241</v>
      </c>
      <c r="P55" s="138">
        <v>0.18099999999999999</v>
      </c>
      <c r="Q55" t="s">
        <v>241</v>
      </c>
      <c r="R55">
        <f>P55</f>
        <v>0.18099999999999999</v>
      </c>
    </row>
    <row r="56" spans="1:18" ht="15.6">
      <c r="A56" s="88" t="s">
        <v>179</v>
      </c>
      <c r="B56" s="87">
        <f>R56</f>
        <v>0.18099999999999999</v>
      </c>
      <c r="C56" t="s">
        <v>37</v>
      </c>
      <c r="D56" s="17" t="s">
        <v>40</v>
      </c>
      <c r="E56" t="s">
        <v>29</v>
      </c>
      <c r="F56" s="74" t="s">
        <v>35</v>
      </c>
      <c r="G56" t="s">
        <v>33</v>
      </c>
      <c r="H56">
        <v>2</v>
      </c>
      <c r="I56">
        <f>LN(B56)</f>
        <v>-1.7092582477163114</v>
      </c>
      <c r="J56">
        <v>2.8722813232690055E-2</v>
      </c>
      <c r="K56" t="s">
        <v>31</v>
      </c>
      <c r="L56" t="s">
        <v>31</v>
      </c>
      <c r="M56" t="s">
        <v>31</v>
      </c>
      <c r="O56" s="153" t="s">
        <v>241</v>
      </c>
      <c r="P56" s="138">
        <v>0.18099999999999999</v>
      </c>
      <c r="Q56" t="s">
        <v>241</v>
      </c>
      <c r="R56" s="87">
        <f>P56</f>
        <v>0.18099999999999999</v>
      </c>
    </row>
    <row r="57" spans="1:18" ht="15.6">
      <c r="A57" s="76" t="s">
        <v>38</v>
      </c>
      <c r="B57" s="122">
        <f>R57</f>
        <v>5.3999999999999999E-2</v>
      </c>
      <c r="C57" t="s">
        <v>39</v>
      </c>
      <c r="D57" s="17" t="s">
        <v>40</v>
      </c>
      <c r="E57" t="s">
        <v>29</v>
      </c>
      <c r="F57" s="74" t="s">
        <v>35</v>
      </c>
      <c r="G57" t="s">
        <v>33</v>
      </c>
      <c r="H57">
        <v>2</v>
      </c>
      <c r="I57">
        <f t="shared" ref="I57" si="2">LN(B57)</f>
        <v>-2.9187712324178627</v>
      </c>
      <c r="J57">
        <v>7.2284161474004766E-2</v>
      </c>
      <c r="K57" t="s">
        <v>31</v>
      </c>
      <c r="L57" t="s">
        <v>31</v>
      </c>
      <c r="M57" t="s">
        <v>31</v>
      </c>
      <c r="O57" s="78" t="s">
        <v>248</v>
      </c>
      <c r="P57" s="138">
        <v>5.3999999999999999E-2</v>
      </c>
      <c r="Q57" t="s">
        <v>248</v>
      </c>
      <c r="R57" s="122">
        <f>P57</f>
        <v>5.3999999999999999E-2</v>
      </c>
    </row>
    <row r="58" spans="1:18" ht="15.6">
      <c r="A58" s="67" t="s">
        <v>5</v>
      </c>
      <c r="B58" s="106" t="s">
        <v>1712</v>
      </c>
      <c r="C58" s="69"/>
      <c r="D58" s="70"/>
      <c r="E58" s="70"/>
      <c r="F58" s="70"/>
      <c r="G58" s="70"/>
      <c r="H58" s="70"/>
      <c r="I58" s="70"/>
      <c r="J58" s="70"/>
      <c r="K58" s="70"/>
      <c r="L58" s="70"/>
      <c r="M58" s="70"/>
    </row>
    <row r="59" spans="1:18">
      <c r="A59" s="71" t="s">
        <v>7</v>
      </c>
      <c r="B59" t="s">
        <v>1654</v>
      </c>
      <c r="C59" s="72"/>
    </row>
    <row r="60" spans="1:18">
      <c r="A60" s="126" t="s">
        <v>9</v>
      </c>
      <c r="B60" t="s">
        <v>1714</v>
      </c>
      <c r="C60" s="72"/>
    </row>
    <row r="61" spans="1:18" ht="27.75" customHeight="1">
      <c r="A61" s="71" t="s">
        <v>11</v>
      </c>
      <c r="B61" s="73" t="s">
        <v>796</v>
      </c>
    </row>
    <row r="62" spans="1:18">
      <c r="A62" s="71" t="s">
        <v>13</v>
      </c>
      <c r="B62" t="s">
        <v>14</v>
      </c>
    </row>
    <row r="63" spans="1:18">
      <c r="A63" s="71" t="s">
        <v>15</v>
      </c>
      <c r="B63">
        <v>1</v>
      </c>
    </row>
    <row r="64" spans="1:18">
      <c r="A64" s="71" t="s">
        <v>16</v>
      </c>
      <c r="B64" t="s">
        <v>17</v>
      </c>
    </row>
    <row r="65" spans="1:18">
      <c r="A65" s="71" t="s">
        <v>18</v>
      </c>
      <c r="B65" t="s">
        <v>18</v>
      </c>
    </row>
    <row r="66" spans="1:18" ht="15.6">
      <c r="A66" s="75" t="s">
        <v>19</v>
      </c>
    </row>
    <row r="67" spans="1:18" ht="15.6">
      <c r="A67" s="75" t="s">
        <v>20</v>
      </c>
      <c r="B67" s="16" t="s">
        <v>21</v>
      </c>
      <c r="C67" s="16" t="s">
        <v>18</v>
      </c>
      <c r="D67" s="16" t="s">
        <v>22</v>
      </c>
      <c r="E67" s="16" t="s">
        <v>7</v>
      </c>
      <c r="F67" s="16" t="s">
        <v>13</v>
      </c>
      <c r="G67" s="16" t="s">
        <v>16</v>
      </c>
      <c r="H67" s="16" t="s">
        <v>23</v>
      </c>
      <c r="I67" s="16" t="s">
        <v>24</v>
      </c>
      <c r="J67" s="16" t="s">
        <v>25</v>
      </c>
      <c r="K67" s="16" t="s">
        <v>26</v>
      </c>
      <c r="L67" s="16" t="s">
        <v>27</v>
      </c>
      <c r="M67" s="16" t="s">
        <v>28</v>
      </c>
      <c r="N67" s="16" t="s">
        <v>11</v>
      </c>
    </row>
    <row r="68" spans="1:18" ht="15.6">
      <c r="A68" s="88" t="s">
        <v>1712</v>
      </c>
      <c r="B68">
        <v>1</v>
      </c>
      <c r="C68" t="s">
        <v>18</v>
      </c>
      <c r="D68" s="109" t="s">
        <v>2</v>
      </c>
      <c r="E68" t="s">
        <v>29</v>
      </c>
      <c r="F68" s="74" t="s">
        <v>14</v>
      </c>
      <c r="G68" t="s">
        <v>30</v>
      </c>
      <c r="H68">
        <v>1</v>
      </c>
      <c r="I68">
        <v>1</v>
      </c>
      <c r="J68" t="s">
        <v>31</v>
      </c>
      <c r="K68" t="s">
        <v>31</v>
      </c>
      <c r="L68" t="s">
        <v>31</v>
      </c>
      <c r="M68" t="s">
        <v>31</v>
      </c>
    </row>
    <row r="69" spans="1:18" ht="15.6">
      <c r="A69" s="88" t="s">
        <v>1715</v>
      </c>
      <c r="B69" s="87">
        <f>B77</f>
        <v>0.09</v>
      </c>
      <c r="C69" t="s">
        <v>37</v>
      </c>
      <c r="D69" s="109" t="s">
        <v>2</v>
      </c>
      <c r="E69" t="s">
        <v>29</v>
      </c>
      <c r="F69" s="74" t="s">
        <v>14</v>
      </c>
      <c r="G69" t="s">
        <v>33</v>
      </c>
      <c r="H69">
        <v>1</v>
      </c>
      <c r="I69" s="87">
        <f>B69</f>
        <v>0.09</v>
      </c>
      <c r="J69" t="s">
        <v>31</v>
      </c>
      <c r="K69" t="s">
        <v>31</v>
      </c>
      <c r="L69" t="s">
        <v>31</v>
      </c>
      <c r="M69" t="s">
        <v>31</v>
      </c>
      <c r="O69" s="78"/>
      <c r="P69" s="90"/>
      <c r="Q69" t="s">
        <v>241</v>
      </c>
      <c r="R69" s="87">
        <v>0.01</v>
      </c>
    </row>
    <row r="70" spans="1:18" ht="15.6">
      <c r="A70" s="88" t="s">
        <v>1716</v>
      </c>
      <c r="B70" s="122">
        <v>1</v>
      </c>
      <c r="C70" t="s">
        <v>18</v>
      </c>
      <c r="D70" s="109" t="s">
        <v>2</v>
      </c>
      <c r="E70" t="s">
        <v>29</v>
      </c>
      <c r="F70" s="74" t="s">
        <v>14</v>
      </c>
      <c r="G70" t="s">
        <v>33</v>
      </c>
      <c r="H70">
        <v>1</v>
      </c>
      <c r="I70">
        <v>1</v>
      </c>
      <c r="J70" t="s">
        <v>31</v>
      </c>
      <c r="K70" t="s">
        <v>31</v>
      </c>
      <c r="L70" t="s">
        <v>31</v>
      </c>
      <c r="M70" t="s">
        <v>31</v>
      </c>
      <c r="O70" s="78"/>
      <c r="P70" s="154"/>
      <c r="R70" s="122"/>
    </row>
    <row r="71" spans="1:18" ht="15.6">
      <c r="A71" s="76" t="s">
        <v>38</v>
      </c>
      <c r="B71" s="122">
        <f>R71</f>
        <v>0.62</v>
      </c>
      <c r="C71" t="s">
        <v>39</v>
      </c>
      <c r="D71" s="17" t="s">
        <v>40</v>
      </c>
      <c r="E71" t="s">
        <v>29</v>
      </c>
      <c r="F71" s="74" t="s">
        <v>35</v>
      </c>
      <c r="G71" t="s">
        <v>33</v>
      </c>
      <c r="H71">
        <v>2</v>
      </c>
      <c r="I71">
        <f t="shared" ref="I71" si="3">LN(B71)</f>
        <v>-0.4780358009429998</v>
      </c>
      <c r="J71">
        <v>7.2284161474004766E-2</v>
      </c>
      <c r="K71" t="s">
        <v>31</v>
      </c>
      <c r="L71" t="s">
        <v>31</v>
      </c>
      <c r="M71" t="s">
        <v>31</v>
      </c>
      <c r="O71" s="78" t="s">
        <v>248</v>
      </c>
      <c r="P71" s="138">
        <v>0.62</v>
      </c>
      <c r="Q71" t="s">
        <v>248</v>
      </c>
      <c r="R71" s="122">
        <f>P71</f>
        <v>0.62</v>
      </c>
    </row>
    <row r="72" spans="1:18" ht="15.6">
      <c r="A72" s="67" t="s">
        <v>5</v>
      </c>
      <c r="B72" s="106" t="s">
        <v>1715</v>
      </c>
      <c r="C72" s="69"/>
      <c r="D72" s="70"/>
      <c r="E72" s="70"/>
      <c r="F72" s="70"/>
      <c r="G72" s="70"/>
      <c r="H72" s="70"/>
      <c r="I72" s="70"/>
      <c r="J72" s="70"/>
      <c r="K72" s="70"/>
      <c r="L72" s="70"/>
      <c r="M72" s="70"/>
    </row>
    <row r="73" spans="1:18">
      <c r="A73" s="71" t="s">
        <v>7</v>
      </c>
      <c r="B73" t="s">
        <v>1654</v>
      </c>
      <c r="C73" s="72"/>
    </row>
    <row r="74" spans="1:18">
      <c r="A74" s="126" t="s">
        <v>9</v>
      </c>
      <c r="B74" t="s">
        <v>1717</v>
      </c>
      <c r="C74" s="72"/>
    </row>
    <row r="75" spans="1:18" ht="15" customHeight="1">
      <c r="A75" s="71" t="s">
        <v>11</v>
      </c>
      <c r="B75" s="73" t="s">
        <v>796</v>
      </c>
    </row>
    <row r="76" spans="1:18">
      <c r="A76" s="71" t="s">
        <v>13</v>
      </c>
      <c r="B76" t="s">
        <v>14</v>
      </c>
    </row>
    <row r="77" spans="1:18">
      <c r="A77" s="71" t="s">
        <v>15</v>
      </c>
      <c r="B77" s="23">
        <f>B82</f>
        <v>0.09</v>
      </c>
    </row>
    <row r="78" spans="1:18">
      <c r="A78" s="71" t="s">
        <v>16</v>
      </c>
      <c r="B78" t="s">
        <v>17</v>
      </c>
    </row>
    <row r="79" spans="1:18">
      <c r="A79" s="71" t="s">
        <v>18</v>
      </c>
      <c r="B79" t="s">
        <v>37</v>
      </c>
    </row>
    <row r="80" spans="1:18" ht="15.6">
      <c r="A80" s="75" t="s">
        <v>19</v>
      </c>
    </row>
    <row r="81" spans="1:18" ht="15.6">
      <c r="A81" s="75" t="s">
        <v>20</v>
      </c>
      <c r="B81" s="16" t="s">
        <v>21</v>
      </c>
      <c r="C81" s="16" t="s">
        <v>18</v>
      </c>
      <c r="D81" s="16" t="s">
        <v>22</v>
      </c>
      <c r="E81" s="16" t="s">
        <v>7</v>
      </c>
      <c r="F81" s="16" t="s">
        <v>13</v>
      </c>
      <c r="G81" s="16" t="s">
        <v>16</v>
      </c>
      <c r="H81" s="16" t="s">
        <v>23</v>
      </c>
      <c r="I81" s="16" t="s">
        <v>24</v>
      </c>
      <c r="J81" s="16" t="s">
        <v>25</v>
      </c>
      <c r="K81" s="16" t="s">
        <v>26</v>
      </c>
      <c r="L81" s="16" t="s">
        <v>27</v>
      </c>
      <c r="M81" s="16" t="s">
        <v>28</v>
      </c>
      <c r="N81" s="16" t="s">
        <v>11</v>
      </c>
    </row>
    <row r="82" spans="1:18" ht="15.6">
      <c r="A82" s="88" t="s">
        <v>1715</v>
      </c>
      <c r="B82" s="23">
        <v>0.09</v>
      </c>
      <c r="C82" t="s">
        <v>37</v>
      </c>
      <c r="D82" s="109" t="s">
        <v>2</v>
      </c>
      <c r="E82" t="s">
        <v>29</v>
      </c>
      <c r="F82" s="74" t="s">
        <v>14</v>
      </c>
      <c r="G82" t="s">
        <v>30</v>
      </c>
      <c r="H82">
        <v>1</v>
      </c>
      <c r="I82" s="23">
        <f>B82</f>
        <v>0.09</v>
      </c>
      <c r="J82" t="s">
        <v>31</v>
      </c>
      <c r="K82" t="s">
        <v>31</v>
      </c>
      <c r="L82" t="s">
        <v>31</v>
      </c>
      <c r="M82" t="s">
        <v>31</v>
      </c>
      <c r="O82" s="78"/>
      <c r="P82" s="90"/>
      <c r="Q82" t="s">
        <v>241</v>
      </c>
      <c r="R82" s="87">
        <v>0.01</v>
      </c>
    </row>
    <row r="83" spans="1:18" ht="15.6">
      <c r="A83" s="88" t="s">
        <v>653</v>
      </c>
      <c r="B83" s="23">
        <v>0.09</v>
      </c>
      <c r="C83" t="s">
        <v>37</v>
      </c>
      <c r="D83" s="17" t="s">
        <v>40</v>
      </c>
      <c r="E83" t="s">
        <v>29</v>
      </c>
      <c r="F83" s="74" t="s">
        <v>59</v>
      </c>
      <c r="G83" t="s">
        <v>33</v>
      </c>
      <c r="H83">
        <v>1</v>
      </c>
      <c r="I83" s="23">
        <f t="shared" ref="I83:I84" si="4">B83</f>
        <v>0.09</v>
      </c>
      <c r="J83" t="s">
        <v>31</v>
      </c>
      <c r="K83" t="s">
        <v>31</v>
      </c>
      <c r="L83" t="s">
        <v>31</v>
      </c>
      <c r="M83" t="s">
        <v>31</v>
      </c>
      <c r="O83" s="78"/>
      <c r="P83" s="154"/>
      <c r="R83" s="122"/>
    </row>
    <row r="84" spans="1:18">
      <c r="A84" s="88" t="s">
        <v>707</v>
      </c>
      <c r="B84" s="23">
        <v>0.09</v>
      </c>
      <c r="C84" t="s">
        <v>37</v>
      </c>
      <c r="D84" t="s">
        <v>40</v>
      </c>
      <c r="E84" t="s">
        <v>29</v>
      </c>
      <c r="F84" t="s">
        <v>59</v>
      </c>
      <c r="G84" t="s">
        <v>33</v>
      </c>
      <c r="H84">
        <v>1</v>
      </c>
      <c r="I84" s="23">
        <f t="shared" si="4"/>
        <v>0.09</v>
      </c>
      <c r="J84" t="s">
        <v>31</v>
      </c>
      <c r="K84" t="s">
        <v>31</v>
      </c>
      <c r="L84" t="s">
        <v>31</v>
      </c>
      <c r="M84" t="s">
        <v>31</v>
      </c>
    </row>
    <row r="85" spans="1:18" s="70" customFormat="1" ht="15.6">
      <c r="A85" s="67" t="s">
        <v>5</v>
      </c>
      <c r="B85" s="106" t="s">
        <v>1716</v>
      </c>
      <c r="C85" s="69"/>
    </row>
    <row r="86" spans="1:18">
      <c r="A86" s="71" t="s">
        <v>7</v>
      </c>
      <c r="B86" t="s">
        <v>1654</v>
      </c>
      <c r="C86" s="72"/>
    </row>
    <row r="87" spans="1:18">
      <c r="A87" s="126" t="s">
        <v>9</v>
      </c>
      <c r="B87" t="s">
        <v>1718</v>
      </c>
      <c r="C87" s="72"/>
    </row>
    <row r="88" spans="1:18" ht="15.75" customHeight="1">
      <c r="A88" s="71" t="s">
        <v>11</v>
      </c>
      <c r="B88" s="73" t="s">
        <v>796</v>
      </c>
    </row>
    <row r="89" spans="1:18">
      <c r="A89" s="71" t="s">
        <v>13</v>
      </c>
      <c r="B89" t="s">
        <v>14</v>
      </c>
    </row>
    <row r="90" spans="1:18">
      <c r="A90" s="71" t="s">
        <v>15</v>
      </c>
      <c r="B90">
        <v>1</v>
      </c>
    </row>
    <row r="91" spans="1:18">
      <c r="A91" s="71" t="s">
        <v>16</v>
      </c>
      <c r="B91" t="s">
        <v>17</v>
      </c>
    </row>
    <row r="92" spans="1:18">
      <c r="A92" s="71" t="s">
        <v>18</v>
      </c>
      <c r="B92" t="s">
        <v>18</v>
      </c>
    </row>
    <row r="93" spans="1:18" ht="15.6">
      <c r="A93" s="75" t="s">
        <v>19</v>
      </c>
    </row>
    <row r="94" spans="1:18" ht="15.6">
      <c r="A94" s="75" t="s">
        <v>20</v>
      </c>
      <c r="B94" s="16" t="s">
        <v>21</v>
      </c>
      <c r="C94" s="16" t="s">
        <v>18</v>
      </c>
      <c r="D94" s="16" t="s">
        <v>22</v>
      </c>
      <c r="E94" s="16" t="s">
        <v>7</v>
      </c>
      <c r="F94" s="16" t="s">
        <v>13</v>
      </c>
      <c r="G94" s="16" t="s">
        <v>16</v>
      </c>
      <c r="H94" s="16" t="s">
        <v>23</v>
      </c>
      <c r="I94" s="16" t="s">
        <v>24</v>
      </c>
      <c r="J94" s="16" t="s">
        <v>25</v>
      </c>
      <c r="K94" s="16" t="s">
        <v>26</v>
      </c>
      <c r="L94" s="16" t="s">
        <v>27</v>
      </c>
      <c r="M94" s="16" t="s">
        <v>28</v>
      </c>
      <c r="N94" s="16" t="s">
        <v>11</v>
      </c>
    </row>
    <row r="95" spans="1:18" ht="15.6">
      <c r="A95" s="88" t="s">
        <v>1716</v>
      </c>
      <c r="B95" s="122">
        <v>1</v>
      </c>
      <c r="C95" t="s">
        <v>18</v>
      </c>
      <c r="D95" s="109" t="s">
        <v>2</v>
      </c>
      <c r="E95" t="s">
        <v>29</v>
      </c>
      <c r="F95" s="74" t="s">
        <v>14</v>
      </c>
      <c r="G95" t="s">
        <v>30</v>
      </c>
      <c r="H95">
        <v>1</v>
      </c>
      <c r="I95">
        <v>1</v>
      </c>
      <c r="J95" t="s">
        <v>31</v>
      </c>
      <c r="K95" t="s">
        <v>31</v>
      </c>
      <c r="L95" t="s">
        <v>31</v>
      </c>
      <c r="M95" t="s">
        <v>31</v>
      </c>
      <c r="O95" s="78"/>
      <c r="P95" s="154"/>
      <c r="R95" s="122"/>
    </row>
    <row r="96" spans="1:18" ht="15.6">
      <c r="A96" s="88" t="s">
        <v>1719</v>
      </c>
      <c r="B96">
        <v>1</v>
      </c>
      <c r="C96" t="s">
        <v>18</v>
      </c>
      <c r="D96" s="109" t="s">
        <v>2</v>
      </c>
      <c r="E96" t="s">
        <v>29</v>
      </c>
      <c r="F96" s="74" t="s">
        <v>14</v>
      </c>
      <c r="G96" t="s">
        <v>33</v>
      </c>
      <c r="H96">
        <v>1</v>
      </c>
      <c r="I96">
        <v>1</v>
      </c>
      <c r="J96" t="s">
        <v>31</v>
      </c>
      <c r="K96" t="s">
        <v>31</v>
      </c>
      <c r="L96" t="s">
        <v>31</v>
      </c>
      <c r="M96" t="s">
        <v>31</v>
      </c>
      <c r="O96" s="78"/>
      <c r="P96" s="154"/>
    </row>
    <row r="97" spans="1:20" ht="15.6">
      <c r="A97" s="76" t="s">
        <v>38</v>
      </c>
      <c r="B97" s="122">
        <f>R97</f>
        <v>0.05</v>
      </c>
      <c r="C97" t="s">
        <v>39</v>
      </c>
      <c r="D97" s="17" t="s">
        <v>40</v>
      </c>
      <c r="E97" t="s">
        <v>29</v>
      </c>
      <c r="F97" s="74" t="s">
        <v>35</v>
      </c>
      <c r="G97" t="s">
        <v>33</v>
      </c>
      <c r="H97">
        <v>2</v>
      </c>
      <c r="I97">
        <f t="shared" ref="I97" si="5">LN(B97)</f>
        <v>-2.9957322735539909</v>
      </c>
      <c r="J97">
        <v>7.2284161474004766E-2</v>
      </c>
      <c r="K97" t="s">
        <v>31</v>
      </c>
      <c r="L97" t="s">
        <v>31</v>
      </c>
      <c r="M97" t="s">
        <v>31</v>
      </c>
      <c r="O97" s="78" t="s">
        <v>248</v>
      </c>
      <c r="P97" s="114">
        <v>0.05</v>
      </c>
      <c r="Q97" t="s">
        <v>248</v>
      </c>
      <c r="R97" s="122">
        <f>P97</f>
        <v>0.05</v>
      </c>
    </row>
    <row r="98" spans="1:20" s="70" customFormat="1" ht="15.6">
      <c r="A98" s="67" t="s">
        <v>5</v>
      </c>
      <c r="B98" s="106" t="s">
        <v>1719</v>
      </c>
      <c r="C98" s="69"/>
    </row>
    <row r="99" spans="1:20">
      <c r="A99" s="71" t="s">
        <v>7</v>
      </c>
      <c r="B99" t="s">
        <v>1654</v>
      </c>
      <c r="C99" s="72"/>
    </row>
    <row r="100" spans="1:20">
      <c r="A100" s="126" t="s">
        <v>9</v>
      </c>
      <c r="B100" t="s">
        <v>1720</v>
      </c>
      <c r="C100" s="72"/>
    </row>
    <row r="101" spans="1:20" ht="15.75" customHeight="1">
      <c r="A101" s="71" t="s">
        <v>11</v>
      </c>
      <c r="B101" s="73" t="s">
        <v>796</v>
      </c>
    </row>
    <row r="102" spans="1:20">
      <c r="A102" s="71" t="s">
        <v>13</v>
      </c>
      <c r="B102" t="s">
        <v>14</v>
      </c>
    </row>
    <row r="103" spans="1:20">
      <c r="A103" s="71" t="s">
        <v>15</v>
      </c>
      <c r="B103">
        <v>1</v>
      </c>
    </row>
    <row r="104" spans="1:20">
      <c r="A104" s="71" t="s">
        <v>16</v>
      </c>
      <c r="B104" t="s">
        <v>17</v>
      </c>
    </row>
    <row r="105" spans="1:20">
      <c r="A105" s="71" t="s">
        <v>18</v>
      </c>
      <c r="B105" t="s">
        <v>18</v>
      </c>
    </row>
    <row r="106" spans="1:20" ht="15.6">
      <c r="A106" s="75" t="s">
        <v>19</v>
      </c>
    </row>
    <row r="107" spans="1:20" ht="15.6">
      <c r="A107" s="75" t="s">
        <v>20</v>
      </c>
      <c r="B107" s="16" t="s">
        <v>21</v>
      </c>
      <c r="C107" s="16" t="s">
        <v>18</v>
      </c>
      <c r="D107" s="16" t="s">
        <v>22</v>
      </c>
      <c r="E107" s="16" t="s">
        <v>7</v>
      </c>
      <c r="F107" s="16" t="s">
        <v>13</v>
      </c>
      <c r="G107" s="16" t="s">
        <v>16</v>
      </c>
      <c r="H107" s="16" t="s">
        <v>23</v>
      </c>
      <c r="I107" s="16" t="s">
        <v>24</v>
      </c>
      <c r="J107" s="16" t="s">
        <v>25</v>
      </c>
      <c r="K107" s="16" t="s">
        <v>26</v>
      </c>
      <c r="L107" s="16" t="s">
        <v>27</v>
      </c>
      <c r="M107" s="16" t="s">
        <v>28</v>
      </c>
      <c r="N107" s="16" t="s">
        <v>11</v>
      </c>
    </row>
    <row r="108" spans="1:20" ht="15.6">
      <c r="A108" s="88" t="s">
        <v>1719</v>
      </c>
      <c r="B108">
        <v>1</v>
      </c>
      <c r="C108" t="s">
        <v>18</v>
      </c>
      <c r="D108" s="17" t="s">
        <v>2</v>
      </c>
      <c r="E108" t="s">
        <v>29</v>
      </c>
      <c r="F108" s="74" t="s">
        <v>14</v>
      </c>
      <c r="G108" t="s">
        <v>30</v>
      </c>
      <c r="H108">
        <v>1</v>
      </c>
      <c r="I108">
        <v>1</v>
      </c>
      <c r="J108" t="s">
        <v>31</v>
      </c>
      <c r="K108" t="s">
        <v>31</v>
      </c>
      <c r="L108" t="s">
        <v>31</v>
      </c>
      <c r="M108" t="s">
        <v>31</v>
      </c>
      <c r="P108" s="155"/>
    </row>
    <row r="109" spans="1:20" ht="15.6">
      <c r="A109" s="76" t="s">
        <v>1721</v>
      </c>
      <c r="B109" s="156">
        <f>B133</f>
        <v>5.8999999999999997E-2</v>
      </c>
      <c r="C109" t="s">
        <v>609</v>
      </c>
      <c r="D109" s="17" t="s">
        <v>2</v>
      </c>
      <c r="E109" t="s">
        <v>29</v>
      </c>
      <c r="F109" s="74" t="s">
        <v>14</v>
      </c>
      <c r="G109" t="s">
        <v>33</v>
      </c>
      <c r="H109">
        <v>1</v>
      </c>
      <c r="I109" s="156">
        <f>B109</f>
        <v>5.8999999999999997E-2</v>
      </c>
      <c r="J109" t="s">
        <v>31</v>
      </c>
      <c r="K109" t="s">
        <v>31</v>
      </c>
      <c r="L109" t="s">
        <v>31</v>
      </c>
      <c r="M109" t="s">
        <v>31</v>
      </c>
      <c r="O109" s="110"/>
      <c r="P109" s="111"/>
      <c r="Q109" s="122"/>
    </row>
    <row r="110" spans="1:20" ht="15.6">
      <c r="A110" t="s">
        <v>1676</v>
      </c>
      <c r="B110" s="87">
        <f>T110</f>
        <v>0.2576</v>
      </c>
      <c r="C110" s="22" t="s">
        <v>609</v>
      </c>
      <c r="D110" s="17" t="s">
        <v>2</v>
      </c>
      <c r="E110" t="s">
        <v>29</v>
      </c>
      <c r="F110" s="74" t="s">
        <v>14</v>
      </c>
      <c r="G110" t="s">
        <v>33</v>
      </c>
      <c r="H110">
        <v>1</v>
      </c>
      <c r="I110" s="156">
        <f t="shared" ref="I110:I111" si="6">B110</f>
        <v>0.2576</v>
      </c>
      <c r="J110" t="s">
        <v>31</v>
      </c>
      <c r="K110" t="s">
        <v>31</v>
      </c>
      <c r="L110" t="s">
        <v>31</v>
      </c>
      <c r="M110" t="s">
        <v>31</v>
      </c>
      <c r="O110" s="157" t="s">
        <v>580</v>
      </c>
      <c r="P110" s="158">
        <v>46</v>
      </c>
      <c r="Q110" s="104" t="s">
        <v>928</v>
      </c>
      <c r="R110">
        <f>A.Reused!O36</f>
        <v>5.6000000000000005</v>
      </c>
      <c r="S110" t="s">
        <v>891</v>
      </c>
      <c r="T110" s="87">
        <f>P110*0.001*R110</f>
        <v>0.2576</v>
      </c>
    </row>
    <row r="111" spans="1:20" ht="15.6">
      <c r="A111" t="s">
        <v>1722</v>
      </c>
      <c r="B111">
        <v>1</v>
      </c>
      <c r="C111" t="s">
        <v>18</v>
      </c>
      <c r="D111" s="17" t="s">
        <v>2</v>
      </c>
      <c r="E111" t="s">
        <v>29</v>
      </c>
      <c r="F111" s="74" t="s">
        <v>14</v>
      </c>
      <c r="G111" t="s">
        <v>33</v>
      </c>
      <c r="H111">
        <v>1</v>
      </c>
      <c r="I111" s="156">
        <f t="shared" si="6"/>
        <v>1</v>
      </c>
      <c r="J111" t="s">
        <v>31</v>
      </c>
      <c r="K111" t="s">
        <v>31</v>
      </c>
      <c r="L111" t="s">
        <v>31</v>
      </c>
      <c r="M111" t="s">
        <v>31</v>
      </c>
      <c r="O111" s="110"/>
      <c r="P111" s="111"/>
    </row>
    <row r="112" spans="1:20" ht="15.6">
      <c r="A112" s="88" t="s">
        <v>179</v>
      </c>
      <c r="B112" s="87">
        <f>R112</f>
        <v>2.6000000000000003E-4</v>
      </c>
      <c r="C112" t="s">
        <v>37</v>
      </c>
      <c r="D112" s="17" t="s">
        <v>40</v>
      </c>
      <c r="E112" t="s">
        <v>29</v>
      </c>
      <c r="F112" s="74" t="s">
        <v>35</v>
      </c>
      <c r="G112" t="s">
        <v>33</v>
      </c>
      <c r="H112">
        <v>2</v>
      </c>
      <c r="I112">
        <f>LN(B112)</f>
        <v>-8.2548289269487469</v>
      </c>
      <c r="J112">
        <v>2.8722813232690055E-2</v>
      </c>
      <c r="K112" t="s">
        <v>31</v>
      </c>
      <c r="L112" t="s">
        <v>31</v>
      </c>
      <c r="M112" t="s">
        <v>31</v>
      </c>
      <c r="O112" s="157" t="s">
        <v>580</v>
      </c>
      <c r="P112" s="151">
        <v>0.26</v>
      </c>
      <c r="Q112" t="s">
        <v>241</v>
      </c>
      <c r="R112" s="87">
        <f>P112*10^-3</f>
        <v>2.6000000000000003E-4</v>
      </c>
    </row>
    <row r="113" spans="1:18" s="70" customFormat="1" ht="15.6">
      <c r="A113" s="67" t="s">
        <v>5</v>
      </c>
      <c r="B113" s="123" t="s">
        <v>1722</v>
      </c>
      <c r="C113" s="69"/>
    </row>
    <row r="114" spans="1:18">
      <c r="A114" s="71" t="s">
        <v>7</v>
      </c>
      <c r="B114" t="s">
        <v>1654</v>
      </c>
      <c r="C114" s="72"/>
    </row>
    <row r="115" spans="1:18">
      <c r="A115" s="126" t="s">
        <v>9</v>
      </c>
      <c r="B115" t="s">
        <v>1723</v>
      </c>
      <c r="C115" s="72"/>
    </row>
    <row r="116" spans="1:18" ht="15.75" customHeight="1">
      <c r="A116" s="71" t="s">
        <v>11</v>
      </c>
      <c r="B116" s="73" t="s">
        <v>796</v>
      </c>
    </row>
    <row r="117" spans="1:18">
      <c r="A117" s="71" t="s">
        <v>13</v>
      </c>
      <c r="B117" t="s">
        <v>14</v>
      </c>
    </row>
    <row r="118" spans="1:18">
      <c r="A118" s="71" t="s">
        <v>15</v>
      </c>
      <c r="B118">
        <v>1</v>
      </c>
    </row>
    <row r="119" spans="1:18">
      <c r="A119" s="71" t="s">
        <v>16</v>
      </c>
      <c r="B119" t="s">
        <v>17</v>
      </c>
    </row>
    <row r="120" spans="1:18">
      <c r="A120" s="71" t="s">
        <v>18</v>
      </c>
      <c r="B120" t="s">
        <v>18</v>
      </c>
    </row>
    <row r="121" spans="1:18" ht="15.6">
      <c r="A121" s="75" t="s">
        <v>19</v>
      </c>
    </row>
    <row r="122" spans="1:18" ht="15.6">
      <c r="A122" s="75" t="s">
        <v>20</v>
      </c>
      <c r="B122" s="16" t="s">
        <v>21</v>
      </c>
      <c r="C122" s="16" t="s">
        <v>18</v>
      </c>
      <c r="D122" s="16" t="s">
        <v>22</v>
      </c>
      <c r="E122" s="16" t="s">
        <v>7</v>
      </c>
      <c r="F122" s="16" t="s">
        <v>13</v>
      </c>
      <c r="G122" s="16" t="s">
        <v>16</v>
      </c>
      <c r="H122" s="16" t="s">
        <v>23</v>
      </c>
      <c r="I122" s="16" t="s">
        <v>24</v>
      </c>
      <c r="J122" s="16" t="s">
        <v>25</v>
      </c>
      <c r="K122" s="16" t="s">
        <v>26</v>
      </c>
      <c r="L122" s="16" t="s">
        <v>27</v>
      </c>
      <c r="M122" s="16" t="s">
        <v>28</v>
      </c>
      <c r="N122" s="16" t="s">
        <v>11</v>
      </c>
    </row>
    <row r="123" spans="1:18" ht="15.6">
      <c r="A123" t="s">
        <v>1722</v>
      </c>
      <c r="B123">
        <v>1</v>
      </c>
      <c r="C123" t="s">
        <v>18</v>
      </c>
      <c r="D123" s="109" t="s">
        <v>2</v>
      </c>
      <c r="E123" t="s">
        <v>29</v>
      </c>
      <c r="F123" s="74" t="s">
        <v>14</v>
      </c>
      <c r="G123" t="s">
        <v>30</v>
      </c>
      <c r="H123">
        <v>1</v>
      </c>
      <c r="I123">
        <v>1</v>
      </c>
      <c r="J123" t="s">
        <v>31</v>
      </c>
      <c r="K123" t="s">
        <v>31</v>
      </c>
      <c r="L123" t="s">
        <v>31</v>
      </c>
      <c r="M123" t="s">
        <v>31</v>
      </c>
    </row>
    <row r="124" spans="1:18" ht="15.6">
      <c r="A124" s="88" t="s">
        <v>614</v>
      </c>
      <c r="B124">
        <f>R124</f>
        <v>0.51</v>
      </c>
      <c r="C124" t="s">
        <v>37</v>
      </c>
      <c r="D124" s="17" t="s">
        <v>40</v>
      </c>
      <c r="E124" t="s">
        <v>29</v>
      </c>
      <c r="F124" t="s">
        <v>59</v>
      </c>
      <c r="G124" t="s">
        <v>33</v>
      </c>
      <c r="H124">
        <v>1</v>
      </c>
      <c r="I124">
        <f>B124</f>
        <v>0.51</v>
      </c>
      <c r="J124" t="s">
        <v>31</v>
      </c>
      <c r="K124" t="s">
        <v>31</v>
      </c>
      <c r="L124" t="s">
        <v>31</v>
      </c>
      <c r="M124" t="s">
        <v>31</v>
      </c>
      <c r="P124" s="159">
        <v>0.51</v>
      </c>
      <c r="Q124" t="s">
        <v>241</v>
      </c>
      <c r="R124">
        <f>P124</f>
        <v>0.51</v>
      </c>
    </row>
    <row r="125" spans="1:18">
      <c r="A125" s="88" t="s">
        <v>913</v>
      </c>
      <c r="B125">
        <f t="shared" ref="B125:B127" si="7">R125</f>
        <v>0.33700000000000002</v>
      </c>
      <c r="C125" t="s">
        <v>37</v>
      </c>
      <c r="D125" t="s">
        <v>40</v>
      </c>
      <c r="E125" t="s">
        <v>29</v>
      </c>
      <c r="F125" t="s">
        <v>59</v>
      </c>
      <c r="G125" t="s">
        <v>33</v>
      </c>
      <c r="H125">
        <v>2</v>
      </c>
      <c r="I125">
        <f>LN(B125)</f>
        <v>-1.0876723486297752</v>
      </c>
      <c r="J125">
        <v>3.7749172176353707E-2</v>
      </c>
      <c r="K125" t="s">
        <v>31</v>
      </c>
      <c r="L125" t="s">
        <v>31</v>
      </c>
      <c r="M125" t="s">
        <v>31</v>
      </c>
      <c r="O125" s="101" t="s">
        <v>580</v>
      </c>
      <c r="P125" s="114">
        <v>337</v>
      </c>
      <c r="Q125" t="s">
        <v>241</v>
      </c>
      <c r="R125">
        <f>P125*0.001</f>
        <v>0.33700000000000002</v>
      </c>
    </row>
    <row r="126" spans="1:18">
      <c r="A126" s="88" t="s">
        <v>914</v>
      </c>
      <c r="B126">
        <f t="shared" si="7"/>
        <v>2.0100000000000003E-2</v>
      </c>
      <c r="C126" t="s">
        <v>37</v>
      </c>
      <c r="D126" t="s">
        <v>40</v>
      </c>
      <c r="E126" t="s">
        <v>29</v>
      </c>
      <c r="F126" t="s">
        <v>59</v>
      </c>
      <c r="G126" t="s">
        <v>33</v>
      </c>
      <c r="H126">
        <v>2</v>
      </c>
      <c r="I126">
        <f>LN(B126)</f>
        <v>-3.907035463917107</v>
      </c>
      <c r="J126">
        <v>3.7749172176353707E-2</v>
      </c>
      <c r="K126" t="s">
        <v>31</v>
      </c>
      <c r="L126" t="s">
        <v>31</v>
      </c>
      <c r="M126" t="s">
        <v>31</v>
      </c>
      <c r="O126" s="101" t="s">
        <v>580</v>
      </c>
      <c r="P126" s="114">
        <v>20.100000000000001</v>
      </c>
      <c r="Q126" t="s">
        <v>241</v>
      </c>
      <c r="R126">
        <f t="shared" ref="R126:R127" si="8">P126*0.001</f>
        <v>2.0100000000000003E-2</v>
      </c>
    </row>
    <row r="127" spans="1:18">
      <c r="A127" s="88" t="s">
        <v>915</v>
      </c>
      <c r="B127">
        <f t="shared" si="7"/>
        <v>0.152</v>
      </c>
      <c r="C127" t="s">
        <v>37</v>
      </c>
      <c r="D127" t="s">
        <v>40</v>
      </c>
      <c r="E127" t="s">
        <v>29</v>
      </c>
      <c r="F127" t="s">
        <v>59</v>
      </c>
      <c r="G127" t="s">
        <v>33</v>
      </c>
      <c r="H127">
        <v>2</v>
      </c>
      <c r="I127">
        <f>LN(B127)</f>
        <v>-1.8838747581358606</v>
      </c>
      <c r="J127">
        <v>3.7749172176353707E-2</v>
      </c>
      <c r="K127" t="s">
        <v>31</v>
      </c>
      <c r="L127" t="s">
        <v>31</v>
      </c>
      <c r="M127" t="s">
        <v>31</v>
      </c>
      <c r="O127" s="101" t="s">
        <v>580</v>
      </c>
      <c r="P127" s="114">
        <v>152</v>
      </c>
      <c r="Q127" t="s">
        <v>241</v>
      </c>
      <c r="R127">
        <f t="shared" si="8"/>
        <v>0.152</v>
      </c>
    </row>
    <row r="128" spans="1:18" s="70" customFormat="1" ht="15.6">
      <c r="A128" s="67" t="s">
        <v>5</v>
      </c>
      <c r="B128" s="106" t="s">
        <v>1721</v>
      </c>
      <c r="C128" s="69"/>
    </row>
    <row r="129" spans="1:18">
      <c r="A129" s="71" t="s">
        <v>7</v>
      </c>
      <c r="B129" t="s">
        <v>1654</v>
      </c>
      <c r="C129" s="72"/>
    </row>
    <row r="130" spans="1:18">
      <c r="A130" s="126" t="s">
        <v>9</v>
      </c>
      <c r="B130" t="s">
        <v>1724</v>
      </c>
      <c r="C130" s="72"/>
    </row>
    <row r="131" spans="1:18" ht="15.75" customHeight="1">
      <c r="A131" s="71" t="s">
        <v>11</v>
      </c>
      <c r="B131" s="73" t="s">
        <v>796</v>
      </c>
    </row>
    <row r="132" spans="1:18">
      <c r="A132" s="71" t="s">
        <v>13</v>
      </c>
      <c r="B132" t="s">
        <v>14</v>
      </c>
    </row>
    <row r="133" spans="1:18">
      <c r="A133" s="71" t="s">
        <v>15</v>
      </c>
      <c r="B133" s="127">
        <f>B138</f>
        <v>5.8999999999999997E-2</v>
      </c>
    </row>
    <row r="134" spans="1:18">
      <c r="A134" s="71" t="s">
        <v>16</v>
      </c>
      <c r="B134" t="s">
        <v>17</v>
      </c>
    </row>
    <row r="135" spans="1:18">
      <c r="A135" s="71" t="s">
        <v>18</v>
      </c>
      <c r="B135" t="s">
        <v>609</v>
      </c>
    </row>
    <row r="136" spans="1:18" ht="15.6">
      <c r="A136" s="75" t="s">
        <v>19</v>
      </c>
    </row>
    <row r="137" spans="1:18" ht="15.6">
      <c r="A137" s="16" t="s">
        <v>20</v>
      </c>
      <c r="B137" s="16" t="s">
        <v>21</v>
      </c>
      <c r="C137" s="16" t="s">
        <v>18</v>
      </c>
      <c r="D137" s="16" t="s">
        <v>22</v>
      </c>
      <c r="E137" s="16" t="s">
        <v>7</v>
      </c>
      <c r="F137" s="16" t="s">
        <v>13</v>
      </c>
      <c r="G137" s="16" t="s">
        <v>16</v>
      </c>
      <c r="H137" s="16" t="s">
        <v>23</v>
      </c>
      <c r="I137" s="16" t="s">
        <v>24</v>
      </c>
      <c r="J137" s="16" t="s">
        <v>25</v>
      </c>
      <c r="K137" s="16" t="s">
        <v>26</v>
      </c>
      <c r="L137" s="16" t="s">
        <v>27</v>
      </c>
      <c r="M137" s="16" t="s">
        <v>28</v>
      </c>
      <c r="N137" s="16" t="s">
        <v>11</v>
      </c>
    </row>
    <row r="138" spans="1:18" ht="15.6">
      <c r="A138" s="17" t="s">
        <v>1721</v>
      </c>
      <c r="B138" s="127">
        <f>P138</f>
        <v>5.8999999999999997E-2</v>
      </c>
      <c r="C138" t="s">
        <v>609</v>
      </c>
      <c r="D138" s="109" t="s">
        <v>2</v>
      </c>
      <c r="E138" t="s">
        <v>29</v>
      </c>
      <c r="F138" s="74" t="s">
        <v>14</v>
      </c>
      <c r="G138" t="s">
        <v>30</v>
      </c>
      <c r="H138">
        <v>1</v>
      </c>
      <c r="I138" s="156">
        <f>B138</f>
        <v>5.8999999999999997E-2</v>
      </c>
      <c r="J138" t="s">
        <v>31</v>
      </c>
      <c r="K138" t="s">
        <v>31</v>
      </c>
      <c r="L138" t="s">
        <v>31</v>
      </c>
      <c r="M138" t="s">
        <v>31</v>
      </c>
      <c r="O138" s="110"/>
      <c r="P138" s="160">
        <f>P152</f>
        <v>5.8999999999999997E-2</v>
      </c>
      <c r="Q138" s="122"/>
    </row>
    <row r="139" spans="1:18" ht="15.6">
      <c r="A139" s="59" t="s">
        <v>1725</v>
      </c>
      <c r="B139" s="127">
        <f>P139</f>
        <v>5.8999999999999997E-2</v>
      </c>
      <c r="C139" t="s">
        <v>609</v>
      </c>
      <c r="D139" s="109" t="s">
        <v>2</v>
      </c>
      <c r="E139" t="s">
        <v>29</v>
      </c>
      <c r="F139" s="74" t="s">
        <v>14</v>
      </c>
      <c r="G139" t="s">
        <v>33</v>
      </c>
      <c r="H139">
        <v>1</v>
      </c>
      <c r="I139" s="156">
        <f>B139</f>
        <v>5.8999999999999997E-2</v>
      </c>
      <c r="J139" t="s">
        <v>31</v>
      </c>
      <c r="K139" t="s">
        <v>31</v>
      </c>
      <c r="L139" t="s">
        <v>31</v>
      </c>
      <c r="M139" t="s">
        <v>31</v>
      </c>
      <c r="P139" s="160">
        <f>P152</f>
        <v>5.8999999999999997E-2</v>
      </c>
    </row>
    <row r="140" spans="1:18">
      <c r="A140" s="88" t="s">
        <v>680</v>
      </c>
      <c r="B140">
        <f>R140</f>
        <v>5.3E-3</v>
      </c>
      <c r="C140" t="s">
        <v>37</v>
      </c>
      <c r="D140" t="s">
        <v>40</v>
      </c>
      <c r="E140" t="s">
        <v>29</v>
      </c>
      <c r="F140" t="s">
        <v>35</v>
      </c>
      <c r="G140" t="s">
        <v>33</v>
      </c>
      <c r="H140">
        <v>2</v>
      </c>
      <c r="I140">
        <f>LN(B140)</f>
        <v>-5.2400484584240612</v>
      </c>
      <c r="J140">
        <v>0.20928449536456342</v>
      </c>
      <c r="K140" t="s">
        <v>31</v>
      </c>
      <c r="L140" t="s">
        <v>31</v>
      </c>
      <c r="M140" t="s">
        <v>31</v>
      </c>
      <c r="O140" s="101" t="s">
        <v>580</v>
      </c>
      <c r="P140" s="114">
        <v>5.3</v>
      </c>
      <c r="Q140" t="s">
        <v>241</v>
      </c>
      <c r="R140">
        <f>0.001*P140</f>
        <v>5.3E-3</v>
      </c>
    </row>
    <row r="141" spans="1:18">
      <c r="A141" s="88" t="s">
        <v>545</v>
      </c>
      <c r="B141">
        <f>R141</f>
        <v>5.3E-3</v>
      </c>
      <c r="C141" t="s">
        <v>37</v>
      </c>
      <c r="D141" t="s">
        <v>40</v>
      </c>
      <c r="E141" t="s">
        <v>29</v>
      </c>
      <c r="F141" t="s">
        <v>35</v>
      </c>
      <c r="G141" t="s">
        <v>33</v>
      </c>
      <c r="H141">
        <v>2</v>
      </c>
      <c r="I141">
        <f>LN(B141)</f>
        <v>-5.2400484584240612</v>
      </c>
      <c r="J141">
        <v>0.20928449536456342</v>
      </c>
      <c r="K141" t="s">
        <v>31</v>
      </c>
      <c r="L141" t="s">
        <v>31</v>
      </c>
      <c r="M141" t="s">
        <v>31</v>
      </c>
      <c r="O141" s="101" t="s">
        <v>580</v>
      </c>
      <c r="P141" s="114">
        <v>5.3</v>
      </c>
      <c r="Q141" t="s">
        <v>241</v>
      </c>
      <c r="R141">
        <f>0.001*P141</f>
        <v>5.3E-3</v>
      </c>
    </row>
    <row r="142" spans="1:18" s="70" customFormat="1" ht="15.6">
      <c r="A142" s="67" t="s">
        <v>5</v>
      </c>
      <c r="B142" s="161" t="s">
        <v>1725</v>
      </c>
      <c r="C142" s="69"/>
    </row>
    <row r="143" spans="1:18">
      <c r="A143" s="71" t="s">
        <v>7</v>
      </c>
      <c r="B143" t="s">
        <v>1654</v>
      </c>
      <c r="C143" s="72"/>
    </row>
    <row r="144" spans="1:18">
      <c r="A144" s="126" t="s">
        <v>9</v>
      </c>
      <c r="B144" t="s">
        <v>1726</v>
      </c>
      <c r="C144" s="72"/>
    </row>
    <row r="145" spans="1:18" ht="15.75" customHeight="1">
      <c r="A145" s="71" t="s">
        <v>11</v>
      </c>
      <c r="B145" s="73" t="s">
        <v>796</v>
      </c>
    </row>
    <row r="146" spans="1:18">
      <c r="A146" s="71" t="s">
        <v>13</v>
      </c>
      <c r="B146" t="s">
        <v>14</v>
      </c>
    </row>
    <row r="147" spans="1:18">
      <c r="A147" s="71" t="s">
        <v>15</v>
      </c>
      <c r="B147" s="127">
        <f>B152</f>
        <v>5.8999999999999997E-2</v>
      </c>
    </row>
    <row r="148" spans="1:18">
      <c r="A148" s="71" t="s">
        <v>16</v>
      </c>
      <c r="B148" t="s">
        <v>17</v>
      </c>
    </row>
    <row r="149" spans="1:18">
      <c r="A149" s="71" t="s">
        <v>18</v>
      </c>
      <c r="B149" t="s">
        <v>609</v>
      </c>
    </row>
    <row r="150" spans="1:18" ht="15.6">
      <c r="A150" s="75" t="s">
        <v>19</v>
      </c>
    </row>
    <row r="151" spans="1:18" ht="15.6">
      <c r="A151" s="16" t="s">
        <v>20</v>
      </c>
      <c r="B151" s="16" t="s">
        <v>21</v>
      </c>
      <c r="C151" s="16" t="s">
        <v>18</v>
      </c>
      <c r="D151" s="16" t="s">
        <v>22</v>
      </c>
      <c r="E151" s="16" t="s">
        <v>7</v>
      </c>
      <c r="F151" s="16" t="s">
        <v>13</v>
      </c>
      <c r="G151" s="16" t="s">
        <v>16</v>
      </c>
      <c r="H151" s="16" t="s">
        <v>23</v>
      </c>
      <c r="I151" s="16" t="s">
        <v>24</v>
      </c>
      <c r="J151" s="16" t="s">
        <v>25</v>
      </c>
      <c r="K151" s="16" t="s">
        <v>26</v>
      </c>
      <c r="L151" s="16" t="s">
        <v>27</v>
      </c>
      <c r="M151" s="16" t="s">
        <v>28</v>
      </c>
      <c r="N151" s="16" t="s">
        <v>11</v>
      </c>
    </row>
    <row r="152" spans="1:18" ht="15.6">
      <c r="A152" s="59" t="s">
        <v>1725</v>
      </c>
      <c r="B152" s="162">
        <f>P152</f>
        <v>5.8999999999999997E-2</v>
      </c>
      <c r="C152" t="s">
        <v>609</v>
      </c>
      <c r="D152" s="109" t="s">
        <v>2</v>
      </c>
      <c r="E152" t="s">
        <v>29</v>
      </c>
      <c r="F152" s="74" t="s">
        <v>14</v>
      </c>
      <c r="G152" t="s">
        <v>30</v>
      </c>
      <c r="H152">
        <v>1</v>
      </c>
      <c r="I152" s="156">
        <f>B152</f>
        <v>5.8999999999999997E-2</v>
      </c>
      <c r="J152" t="s">
        <v>31</v>
      </c>
      <c r="K152" t="s">
        <v>31</v>
      </c>
      <c r="L152" t="s">
        <v>31</v>
      </c>
      <c r="M152" t="s">
        <v>31</v>
      </c>
      <c r="O152" s="163" t="s">
        <v>610</v>
      </c>
      <c r="P152" s="160">
        <f>B162</f>
        <v>5.8999999999999997E-2</v>
      </c>
    </row>
    <row r="153" spans="1:18" ht="15.6">
      <c r="A153" t="s">
        <v>1727</v>
      </c>
      <c r="B153" s="162">
        <f t="shared" ref="B153:B156" si="9">P153</f>
        <v>1.7999999999999999E-2</v>
      </c>
      <c r="C153" t="s">
        <v>609</v>
      </c>
      <c r="D153" s="109" t="s">
        <v>2</v>
      </c>
      <c r="E153" t="s">
        <v>29</v>
      </c>
      <c r="F153" s="74" t="s">
        <v>14</v>
      </c>
      <c r="G153" t="s">
        <v>33</v>
      </c>
      <c r="H153">
        <v>1</v>
      </c>
      <c r="I153" s="156">
        <f t="shared" ref="I153:I154" si="10">B153</f>
        <v>1.7999999999999999E-2</v>
      </c>
      <c r="J153" t="s">
        <v>31</v>
      </c>
      <c r="K153" t="s">
        <v>31</v>
      </c>
      <c r="L153" t="s">
        <v>31</v>
      </c>
      <c r="M153" t="s">
        <v>31</v>
      </c>
      <c r="O153" s="163" t="s">
        <v>823</v>
      </c>
      <c r="P153" s="164">
        <f>B228</f>
        <v>1.7999999999999999E-2</v>
      </c>
    </row>
    <row r="154" spans="1:18" ht="15.6">
      <c r="A154" t="s">
        <v>1728</v>
      </c>
      <c r="B154" s="162">
        <f t="shared" si="9"/>
        <v>5.8999999999999997E-2</v>
      </c>
      <c r="C154" t="s">
        <v>609</v>
      </c>
      <c r="D154" s="109" t="s">
        <v>2</v>
      </c>
      <c r="E154" t="s">
        <v>29</v>
      </c>
      <c r="F154" s="74" t="s">
        <v>14</v>
      </c>
      <c r="G154" t="s">
        <v>33</v>
      </c>
      <c r="H154">
        <v>1</v>
      </c>
      <c r="I154" s="156">
        <f t="shared" si="10"/>
        <v>5.8999999999999997E-2</v>
      </c>
      <c r="J154" t="s">
        <v>31</v>
      </c>
      <c r="K154" t="s">
        <v>31</v>
      </c>
      <c r="L154" t="s">
        <v>31</v>
      </c>
      <c r="M154" t="s">
        <v>31</v>
      </c>
      <c r="O154" s="99" t="s">
        <v>823</v>
      </c>
      <c r="P154" s="160">
        <f>B162</f>
        <v>5.8999999999999997E-2</v>
      </c>
    </row>
    <row r="155" spans="1:18" ht="15.6">
      <c r="A155" s="76" t="s">
        <v>38</v>
      </c>
      <c r="B155" s="162">
        <f t="shared" si="9"/>
        <v>1.4</v>
      </c>
      <c r="C155" t="s">
        <v>39</v>
      </c>
      <c r="D155" s="17" t="s">
        <v>40</v>
      </c>
      <c r="E155" t="s">
        <v>29</v>
      </c>
      <c r="F155" s="74" t="s">
        <v>35</v>
      </c>
      <c r="G155" t="s">
        <v>33</v>
      </c>
      <c r="H155">
        <v>2</v>
      </c>
      <c r="I155">
        <f t="shared" ref="I155:I156" si="11">LN(B155)</f>
        <v>0.33647223662121289</v>
      </c>
      <c r="J155">
        <v>9.7082439194738052E-2</v>
      </c>
      <c r="K155" t="s">
        <v>31</v>
      </c>
      <c r="L155" t="s">
        <v>31</v>
      </c>
      <c r="M155" t="s">
        <v>31</v>
      </c>
      <c r="O155" s="101" t="s">
        <v>248</v>
      </c>
      <c r="P155" s="138">
        <v>1.4</v>
      </c>
      <c r="Q155" t="s">
        <v>248</v>
      </c>
      <c r="R155" s="122">
        <f>P155</f>
        <v>1.4</v>
      </c>
    </row>
    <row r="156" spans="1:18" ht="15.6">
      <c r="A156" s="76" t="s">
        <v>202</v>
      </c>
      <c r="B156" s="162">
        <f t="shared" si="9"/>
        <v>3.7</v>
      </c>
      <c r="C156" t="s">
        <v>37</v>
      </c>
      <c r="D156" s="17" t="s">
        <v>40</v>
      </c>
      <c r="E156" t="s">
        <v>29</v>
      </c>
      <c r="F156" s="74" t="s">
        <v>35</v>
      </c>
      <c r="G156" t="s">
        <v>33</v>
      </c>
      <c r="H156">
        <v>2</v>
      </c>
      <c r="I156">
        <f t="shared" si="11"/>
        <v>1.3083328196501789</v>
      </c>
      <c r="J156">
        <v>9.7082439194738052E-2</v>
      </c>
      <c r="K156" t="s">
        <v>31</v>
      </c>
      <c r="L156" t="s">
        <v>31</v>
      </c>
      <c r="M156" t="s">
        <v>31</v>
      </c>
      <c r="O156" s="101" t="s">
        <v>241</v>
      </c>
      <c r="P156" s="138">
        <v>3.7</v>
      </c>
    </row>
    <row r="157" spans="1:18" s="70" customFormat="1" ht="15.6">
      <c r="A157" s="67" t="s">
        <v>5</v>
      </c>
      <c r="B157" s="123" t="s">
        <v>1728</v>
      </c>
      <c r="C157" s="69"/>
    </row>
    <row r="158" spans="1:18">
      <c r="A158" s="71" t="s">
        <v>7</v>
      </c>
      <c r="B158" t="s">
        <v>1654</v>
      </c>
      <c r="C158" s="72"/>
    </row>
    <row r="159" spans="1:18">
      <c r="A159" s="126" t="s">
        <v>9</v>
      </c>
      <c r="B159" t="s">
        <v>1729</v>
      </c>
      <c r="C159" s="72"/>
    </row>
    <row r="160" spans="1:18" ht="15.75" customHeight="1">
      <c r="A160" s="71" t="s">
        <v>11</v>
      </c>
      <c r="B160" s="73" t="s">
        <v>796</v>
      </c>
    </row>
    <row r="161" spans="1:18">
      <c r="A161" s="71" t="s">
        <v>13</v>
      </c>
      <c r="B161" t="s">
        <v>14</v>
      </c>
    </row>
    <row r="162" spans="1:18">
      <c r="A162" s="71" t="s">
        <v>15</v>
      </c>
      <c r="B162" s="162">
        <f>B167</f>
        <v>5.8999999999999997E-2</v>
      </c>
    </row>
    <row r="163" spans="1:18">
      <c r="A163" s="71" t="s">
        <v>16</v>
      </c>
      <c r="B163" t="s">
        <v>17</v>
      </c>
    </row>
    <row r="164" spans="1:18">
      <c r="A164" s="71" t="s">
        <v>18</v>
      </c>
      <c r="B164" t="s">
        <v>609</v>
      </c>
    </row>
    <row r="165" spans="1:18" ht="15.6">
      <c r="A165" s="75" t="s">
        <v>19</v>
      </c>
    </row>
    <row r="166" spans="1:18" ht="15.6">
      <c r="A166" s="16" t="s">
        <v>20</v>
      </c>
      <c r="B166" s="16" t="s">
        <v>21</v>
      </c>
      <c r="C166" s="16" t="s">
        <v>18</v>
      </c>
      <c r="D166" s="16" t="s">
        <v>22</v>
      </c>
      <c r="E166" s="16" t="s">
        <v>7</v>
      </c>
      <c r="F166" s="16" t="s">
        <v>13</v>
      </c>
      <c r="G166" s="16" t="s">
        <v>16</v>
      </c>
      <c r="H166" s="16" t="s">
        <v>23</v>
      </c>
      <c r="I166" s="16" t="s">
        <v>24</v>
      </c>
      <c r="J166" s="16" t="s">
        <v>25</v>
      </c>
      <c r="K166" s="16" t="s">
        <v>26</v>
      </c>
      <c r="L166" s="16" t="s">
        <v>27</v>
      </c>
      <c r="M166" s="16" t="s">
        <v>28</v>
      </c>
      <c r="N166" s="16" t="s">
        <v>11</v>
      </c>
    </row>
    <row r="167" spans="1:18" ht="15.6">
      <c r="A167" t="s">
        <v>1728</v>
      </c>
      <c r="B167" s="115">
        <f>P167</f>
        <v>5.8999999999999997E-2</v>
      </c>
      <c r="C167" t="s">
        <v>609</v>
      </c>
      <c r="D167" s="109" t="s">
        <v>2</v>
      </c>
      <c r="E167" t="s">
        <v>29</v>
      </c>
      <c r="F167" s="74" t="s">
        <v>14</v>
      </c>
      <c r="G167" t="s">
        <v>30</v>
      </c>
      <c r="H167">
        <v>1</v>
      </c>
      <c r="I167" s="115">
        <f>B167</f>
        <v>5.8999999999999997E-2</v>
      </c>
      <c r="J167" t="s">
        <v>31</v>
      </c>
      <c r="K167" t="s">
        <v>31</v>
      </c>
      <c r="L167" t="s">
        <v>31</v>
      </c>
      <c r="M167" t="s">
        <v>31</v>
      </c>
      <c r="P167" s="165">
        <v>5.8999999999999997E-2</v>
      </c>
    </row>
    <row r="168" spans="1:18" ht="15.6">
      <c r="A168" s="59" t="s">
        <v>1730</v>
      </c>
      <c r="B168" s="115">
        <f>P168</f>
        <v>5.8999999999999997E-2</v>
      </c>
      <c r="C168" t="s">
        <v>609</v>
      </c>
      <c r="D168" s="109" t="s">
        <v>2</v>
      </c>
      <c r="E168" t="s">
        <v>29</v>
      </c>
      <c r="F168" s="74" t="s">
        <v>14</v>
      </c>
      <c r="G168" t="s">
        <v>33</v>
      </c>
      <c r="H168">
        <v>1</v>
      </c>
      <c r="I168" s="115">
        <f>B168</f>
        <v>5.8999999999999997E-2</v>
      </c>
      <c r="J168" t="s">
        <v>31</v>
      </c>
      <c r="K168" t="s">
        <v>31</v>
      </c>
      <c r="L168" t="s">
        <v>31</v>
      </c>
      <c r="M168" t="s">
        <v>31</v>
      </c>
      <c r="P168" s="165">
        <v>5.8999999999999997E-2</v>
      </c>
    </row>
    <row r="169" spans="1:18" ht="15.6">
      <c r="A169" s="76" t="s">
        <v>38</v>
      </c>
      <c r="B169" s="122">
        <f>R169</f>
        <v>0.16</v>
      </c>
      <c r="C169" t="s">
        <v>39</v>
      </c>
      <c r="D169" s="17" t="s">
        <v>40</v>
      </c>
      <c r="E169" t="s">
        <v>29</v>
      </c>
      <c r="F169" s="74" t="s">
        <v>35</v>
      </c>
      <c r="G169" t="s">
        <v>33</v>
      </c>
      <c r="H169">
        <v>2</v>
      </c>
      <c r="I169">
        <f t="shared" ref="I169:I173" si="12">LN(B169)</f>
        <v>-1.8325814637483102</v>
      </c>
      <c r="J169">
        <v>0.20928449536456342</v>
      </c>
      <c r="K169" t="s">
        <v>31</v>
      </c>
      <c r="L169" t="s">
        <v>31</v>
      </c>
      <c r="M169" t="s">
        <v>31</v>
      </c>
      <c r="O169" s="78" t="s">
        <v>248</v>
      </c>
      <c r="P169" s="138">
        <v>0.16</v>
      </c>
      <c r="Q169" t="s">
        <v>248</v>
      </c>
      <c r="R169" s="122">
        <f>P169</f>
        <v>0.16</v>
      </c>
    </row>
    <row r="170" spans="1:18" ht="15.6">
      <c r="A170" s="88" t="s">
        <v>798</v>
      </c>
      <c r="B170">
        <f>R170</f>
        <v>5.0000000000000001E-3</v>
      </c>
      <c r="C170" t="s">
        <v>37</v>
      </c>
      <c r="D170" s="17" t="s">
        <v>40</v>
      </c>
      <c r="E170" t="s">
        <v>29</v>
      </c>
      <c r="F170" s="74" t="s">
        <v>35</v>
      </c>
      <c r="G170" t="s">
        <v>33</v>
      </c>
      <c r="H170">
        <v>2</v>
      </c>
      <c r="I170">
        <f t="shared" si="12"/>
        <v>-5.2983173665480363</v>
      </c>
      <c r="J170">
        <v>0.20928449536456342</v>
      </c>
      <c r="K170" t="s">
        <v>31</v>
      </c>
      <c r="L170" t="s">
        <v>31</v>
      </c>
      <c r="M170" t="s">
        <v>31</v>
      </c>
      <c r="O170" s="101" t="s">
        <v>580</v>
      </c>
      <c r="P170" s="138">
        <v>5</v>
      </c>
      <c r="Q170" t="s">
        <v>241</v>
      </c>
      <c r="R170">
        <f>0.001*P170</f>
        <v>5.0000000000000001E-3</v>
      </c>
    </row>
    <row r="171" spans="1:18" ht="15.6">
      <c r="A171" s="88" t="s">
        <v>308</v>
      </c>
      <c r="B171">
        <f>R171</f>
        <v>8.0000000000000004E-4</v>
      </c>
      <c r="C171" t="s">
        <v>37</v>
      </c>
      <c r="D171" s="17" t="s">
        <v>40</v>
      </c>
      <c r="E171" t="s">
        <v>29</v>
      </c>
      <c r="F171" s="74" t="s">
        <v>59</v>
      </c>
      <c r="G171" t="s">
        <v>33</v>
      </c>
      <c r="H171">
        <v>2</v>
      </c>
      <c r="I171">
        <f t="shared" si="12"/>
        <v>-7.1308988302963465</v>
      </c>
      <c r="J171">
        <v>0.20928449536456342</v>
      </c>
      <c r="K171" t="s">
        <v>31</v>
      </c>
      <c r="L171" t="s">
        <v>31</v>
      </c>
      <c r="M171" t="s">
        <v>31</v>
      </c>
      <c r="O171" s="101" t="s">
        <v>580</v>
      </c>
      <c r="P171" s="138">
        <v>0.8</v>
      </c>
      <c r="Q171" t="s">
        <v>241</v>
      </c>
      <c r="R171">
        <f t="shared" ref="R171:R173" si="13">0.001*P171</f>
        <v>8.0000000000000004E-4</v>
      </c>
    </row>
    <row r="172" spans="1:18" ht="15.6">
      <c r="A172" s="76" t="s">
        <v>799</v>
      </c>
      <c r="B172">
        <f>R172</f>
        <v>2.4399999999999998E-2</v>
      </c>
      <c r="C172" t="s">
        <v>37</v>
      </c>
      <c r="D172" s="17" t="s">
        <v>40</v>
      </c>
      <c r="E172" t="s">
        <v>29</v>
      </c>
      <c r="F172" s="74" t="s">
        <v>74</v>
      </c>
      <c r="G172" t="s">
        <v>33</v>
      </c>
      <c r="H172">
        <v>2</v>
      </c>
      <c r="I172">
        <f t="shared" si="12"/>
        <v>-3.713172146682981</v>
      </c>
      <c r="J172">
        <v>0.20928449536456342</v>
      </c>
      <c r="K172" t="s">
        <v>31</v>
      </c>
      <c r="L172" t="s">
        <v>31</v>
      </c>
      <c r="M172" t="s">
        <v>31</v>
      </c>
      <c r="O172" s="101" t="s">
        <v>580</v>
      </c>
      <c r="P172" s="138">
        <v>24.4</v>
      </c>
      <c r="Q172" t="s">
        <v>241</v>
      </c>
      <c r="R172">
        <f t="shared" si="13"/>
        <v>2.4399999999999998E-2</v>
      </c>
    </row>
    <row r="173" spans="1:18" ht="15.6">
      <c r="A173" s="17" t="s">
        <v>1657</v>
      </c>
      <c r="B173">
        <f>R173</f>
        <v>5.7000000000000002E-3</v>
      </c>
      <c r="C173" t="s">
        <v>37</v>
      </c>
      <c r="D173" s="109" t="s">
        <v>2</v>
      </c>
      <c r="E173" t="s">
        <v>29</v>
      </c>
      <c r="F173" s="74" t="s">
        <v>74</v>
      </c>
      <c r="G173" t="s">
        <v>33</v>
      </c>
      <c r="H173">
        <v>2</v>
      </c>
      <c r="I173">
        <f t="shared" si="12"/>
        <v>-5.1672891041416324</v>
      </c>
      <c r="J173">
        <v>0.20928449536456342</v>
      </c>
      <c r="K173" t="s">
        <v>31</v>
      </c>
      <c r="L173" t="s">
        <v>31</v>
      </c>
      <c r="M173" t="s">
        <v>31</v>
      </c>
      <c r="O173" s="166" t="s">
        <v>580</v>
      </c>
      <c r="P173" s="142">
        <v>5.7</v>
      </c>
      <c r="Q173" t="s">
        <v>241</v>
      </c>
      <c r="R173">
        <f t="shared" si="13"/>
        <v>5.7000000000000002E-3</v>
      </c>
    </row>
    <row r="174" spans="1:18" s="70" customFormat="1" ht="15.6">
      <c r="A174" s="67" t="s">
        <v>5</v>
      </c>
      <c r="B174" s="123" t="s">
        <v>1730</v>
      </c>
      <c r="C174" s="69"/>
    </row>
    <row r="175" spans="1:18">
      <c r="A175" s="71" t="s">
        <v>7</v>
      </c>
      <c r="B175" t="s">
        <v>1654</v>
      </c>
      <c r="C175" s="72"/>
    </row>
    <row r="176" spans="1:18">
      <c r="A176" s="126" t="s">
        <v>9</v>
      </c>
      <c r="B176" t="s">
        <v>1731</v>
      </c>
      <c r="C176" s="72"/>
    </row>
    <row r="177" spans="1:18" ht="15.75" customHeight="1">
      <c r="A177" s="71" t="s">
        <v>11</v>
      </c>
      <c r="B177" s="73" t="s">
        <v>796</v>
      </c>
    </row>
    <row r="178" spans="1:18">
      <c r="A178" s="71" t="s">
        <v>13</v>
      </c>
      <c r="B178" t="s">
        <v>14</v>
      </c>
    </row>
    <row r="179" spans="1:18">
      <c r="A179" s="71" t="s">
        <v>15</v>
      </c>
      <c r="B179" s="127">
        <f>B184</f>
        <v>5.8999999999999997E-2</v>
      </c>
    </row>
    <row r="180" spans="1:18">
      <c r="A180" s="71" t="s">
        <v>16</v>
      </c>
      <c r="B180" t="s">
        <v>17</v>
      </c>
    </row>
    <row r="181" spans="1:18">
      <c r="A181" s="71" t="s">
        <v>18</v>
      </c>
      <c r="B181" t="s">
        <v>609</v>
      </c>
    </row>
    <row r="182" spans="1:18" ht="15.6">
      <c r="A182" s="75" t="s">
        <v>19</v>
      </c>
    </row>
    <row r="183" spans="1:18" ht="15.6">
      <c r="A183" s="16" t="s">
        <v>20</v>
      </c>
      <c r="B183" s="16" t="s">
        <v>21</v>
      </c>
      <c r="C183" s="16" t="s">
        <v>18</v>
      </c>
      <c r="D183" s="16" t="s">
        <v>22</v>
      </c>
      <c r="E183" s="16" t="s">
        <v>7</v>
      </c>
      <c r="F183" s="16" t="s">
        <v>13</v>
      </c>
      <c r="G183" s="16" t="s">
        <v>16</v>
      </c>
      <c r="H183" s="16" t="s">
        <v>23</v>
      </c>
      <c r="I183" s="16" t="s">
        <v>24</v>
      </c>
      <c r="J183" s="16" t="s">
        <v>25</v>
      </c>
      <c r="K183" s="16" t="s">
        <v>26</v>
      </c>
      <c r="L183" s="16" t="s">
        <v>27</v>
      </c>
      <c r="M183" s="16" t="s">
        <v>28</v>
      </c>
      <c r="N183" s="16" t="s">
        <v>11</v>
      </c>
    </row>
    <row r="184" spans="1:18" ht="15.6">
      <c r="A184" s="59" t="s">
        <v>1730</v>
      </c>
      <c r="B184" s="167">
        <f>P185</f>
        <v>5.8999999999999997E-2</v>
      </c>
      <c r="C184" t="s">
        <v>609</v>
      </c>
      <c r="D184" s="109" t="s">
        <v>2</v>
      </c>
      <c r="E184" t="s">
        <v>29</v>
      </c>
      <c r="F184" s="74" t="s">
        <v>14</v>
      </c>
      <c r="G184" t="s">
        <v>30</v>
      </c>
      <c r="H184">
        <v>1</v>
      </c>
      <c r="I184" s="115">
        <f>B184</f>
        <v>5.8999999999999997E-2</v>
      </c>
      <c r="J184" t="s">
        <v>31</v>
      </c>
      <c r="K184" t="s">
        <v>31</v>
      </c>
      <c r="L184" t="s">
        <v>31</v>
      </c>
      <c r="M184" t="s">
        <v>31</v>
      </c>
    </row>
    <row r="185" spans="1:18" ht="15.6">
      <c r="A185" t="s">
        <v>1732</v>
      </c>
      <c r="B185" s="168">
        <f>P185</f>
        <v>5.8999999999999997E-2</v>
      </c>
      <c r="C185" t="s">
        <v>609</v>
      </c>
      <c r="D185" s="109" t="s">
        <v>2</v>
      </c>
      <c r="E185" t="s">
        <v>29</v>
      </c>
      <c r="F185" s="74" t="s">
        <v>14</v>
      </c>
      <c r="G185" t="s">
        <v>33</v>
      </c>
      <c r="H185">
        <v>1</v>
      </c>
      <c r="I185" s="115">
        <f>B185</f>
        <v>5.8999999999999997E-2</v>
      </c>
      <c r="J185" t="s">
        <v>31</v>
      </c>
      <c r="K185" t="s">
        <v>31</v>
      </c>
      <c r="L185" t="s">
        <v>31</v>
      </c>
      <c r="M185" t="s">
        <v>31</v>
      </c>
      <c r="P185" s="160">
        <v>5.8999999999999997E-2</v>
      </c>
    </row>
    <row r="186" spans="1:18" ht="15.6">
      <c r="A186" s="76" t="s">
        <v>38</v>
      </c>
      <c r="B186" s="122">
        <f>P186</f>
        <v>3.4400000000000004</v>
      </c>
      <c r="C186" t="s">
        <v>39</v>
      </c>
      <c r="D186" s="17" t="s">
        <v>40</v>
      </c>
      <c r="E186" t="s">
        <v>29</v>
      </c>
      <c r="F186" s="74" t="s">
        <v>35</v>
      </c>
      <c r="G186" t="s">
        <v>33</v>
      </c>
      <c r="H186">
        <v>2</v>
      </c>
      <c r="I186">
        <f t="shared" ref="I186:I187" si="14">LN(B186)</f>
        <v>1.235471471385307</v>
      </c>
      <c r="J186">
        <v>0.20928449536456342</v>
      </c>
      <c r="K186" t="s">
        <v>31</v>
      </c>
      <c r="L186" t="s">
        <v>31</v>
      </c>
      <c r="M186" t="s">
        <v>31</v>
      </c>
      <c r="O186" s="101" t="s">
        <v>248</v>
      </c>
      <c r="P186" s="114">
        <f>2.37+1.07</f>
        <v>3.4400000000000004</v>
      </c>
    </row>
    <row r="187" spans="1:18" ht="15.6">
      <c r="A187" s="76" t="s">
        <v>799</v>
      </c>
      <c r="B187">
        <f>R187</f>
        <v>6.9000000000000008E-3</v>
      </c>
      <c r="C187" t="s">
        <v>37</v>
      </c>
      <c r="D187" s="17" t="s">
        <v>40</v>
      </c>
      <c r="E187" t="s">
        <v>29</v>
      </c>
      <c r="F187" s="74" t="s">
        <v>74</v>
      </c>
      <c r="G187" t="s">
        <v>33</v>
      </c>
      <c r="H187">
        <v>2</v>
      </c>
      <c r="I187">
        <f t="shared" si="14"/>
        <v>-4.976233867378923</v>
      </c>
      <c r="J187">
        <v>0.20928449536456342</v>
      </c>
      <c r="K187" t="s">
        <v>31</v>
      </c>
      <c r="L187" t="s">
        <v>31</v>
      </c>
      <c r="M187" t="s">
        <v>31</v>
      </c>
      <c r="O187" s="101" t="s">
        <v>580</v>
      </c>
      <c r="P187" s="114">
        <v>6.9</v>
      </c>
      <c r="Q187" t="s">
        <v>241</v>
      </c>
      <c r="R187">
        <f>P187*0.001</f>
        <v>6.9000000000000008E-3</v>
      </c>
    </row>
    <row r="188" spans="1:18">
      <c r="A188" s="88" t="s">
        <v>545</v>
      </c>
      <c r="B188">
        <f>R188</f>
        <v>8.4000000000000012E-3</v>
      </c>
      <c r="C188" t="s">
        <v>37</v>
      </c>
      <c r="D188" t="s">
        <v>40</v>
      </c>
      <c r="E188" t="s">
        <v>29</v>
      </c>
      <c r="F188" t="s">
        <v>35</v>
      </c>
      <c r="G188" t="s">
        <v>33</v>
      </c>
      <c r="H188">
        <v>2</v>
      </c>
      <c r="I188">
        <f>LN(B188)</f>
        <v>-4.7795235731328694</v>
      </c>
      <c r="J188">
        <v>0.20928449536456342</v>
      </c>
      <c r="K188" t="s">
        <v>31</v>
      </c>
      <c r="L188" t="s">
        <v>31</v>
      </c>
      <c r="M188" t="s">
        <v>31</v>
      </c>
      <c r="O188" s="101" t="s">
        <v>580</v>
      </c>
      <c r="P188" s="114">
        <v>8.4</v>
      </c>
      <c r="Q188" t="s">
        <v>241</v>
      </c>
      <c r="R188">
        <f>P188*0.001</f>
        <v>8.4000000000000012E-3</v>
      </c>
    </row>
    <row r="189" spans="1:18" ht="15.6">
      <c r="A189" s="17" t="s">
        <v>1657</v>
      </c>
      <c r="B189">
        <f>R189</f>
        <v>8.4000000000000012E-3</v>
      </c>
      <c r="C189" t="s">
        <v>37</v>
      </c>
      <c r="D189" s="109" t="s">
        <v>2</v>
      </c>
      <c r="E189" t="s">
        <v>29</v>
      </c>
      <c r="F189" s="74" t="s">
        <v>74</v>
      </c>
      <c r="G189" t="s">
        <v>33</v>
      </c>
      <c r="H189">
        <v>2</v>
      </c>
      <c r="I189">
        <f t="shared" ref="I189" si="15">LN(B189)</f>
        <v>-4.7795235731328694</v>
      </c>
      <c r="J189">
        <v>0.20928449536456342</v>
      </c>
      <c r="K189" t="s">
        <v>31</v>
      </c>
      <c r="L189" t="s">
        <v>31</v>
      </c>
      <c r="M189" t="s">
        <v>31</v>
      </c>
      <c r="O189" s="166" t="s">
        <v>580</v>
      </c>
      <c r="P189" s="119">
        <v>8.4</v>
      </c>
      <c r="Q189" t="s">
        <v>241</v>
      </c>
      <c r="R189">
        <f t="shared" ref="R189" si="16">0.001*P189</f>
        <v>8.4000000000000012E-3</v>
      </c>
    </row>
    <row r="190" spans="1:18" s="70" customFormat="1" ht="15.6">
      <c r="A190" s="67" t="s">
        <v>5</v>
      </c>
      <c r="B190" s="123" t="s">
        <v>1732</v>
      </c>
      <c r="C190" s="69"/>
    </row>
    <row r="191" spans="1:18">
      <c r="A191" s="71" t="s">
        <v>7</v>
      </c>
      <c r="B191" t="s">
        <v>1654</v>
      </c>
      <c r="C191" s="72"/>
    </row>
    <row r="192" spans="1:18">
      <c r="A192" s="126" t="s">
        <v>9</v>
      </c>
      <c r="B192" t="s">
        <v>1733</v>
      </c>
      <c r="C192" s="72"/>
    </row>
    <row r="193" spans="1:21" ht="15.75" customHeight="1">
      <c r="A193" s="71" t="s">
        <v>11</v>
      </c>
      <c r="B193" s="73" t="s">
        <v>796</v>
      </c>
    </row>
    <row r="194" spans="1:21">
      <c r="A194" s="71" t="s">
        <v>13</v>
      </c>
      <c r="B194" t="s">
        <v>14</v>
      </c>
      <c r="R194" s="131" t="s">
        <v>885</v>
      </c>
    </row>
    <row r="195" spans="1:21">
      <c r="A195" s="71" t="s">
        <v>15</v>
      </c>
      <c r="B195" s="127">
        <f>B200</f>
        <v>0.73</v>
      </c>
      <c r="R195" t="s">
        <v>886</v>
      </c>
      <c r="S195">
        <v>8900</v>
      </c>
      <c r="T195" t="s">
        <v>887</v>
      </c>
    </row>
    <row r="196" spans="1:21">
      <c r="A196" s="71" t="s">
        <v>16</v>
      </c>
      <c r="B196" t="s">
        <v>17</v>
      </c>
      <c r="R196" t="s">
        <v>888</v>
      </c>
      <c r="S196">
        <f>5*10^-6</f>
        <v>4.9999999999999996E-6</v>
      </c>
      <c r="T196" t="s">
        <v>889</v>
      </c>
    </row>
    <row r="197" spans="1:21">
      <c r="A197" s="71" t="s">
        <v>18</v>
      </c>
      <c r="B197" t="s">
        <v>609</v>
      </c>
      <c r="R197" s="134" t="s">
        <v>890</v>
      </c>
      <c r="S197" s="135">
        <f>S196*S195</f>
        <v>4.4499999999999998E-2</v>
      </c>
      <c r="T197" s="136" t="s">
        <v>891</v>
      </c>
    </row>
    <row r="198" spans="1:21" ht="15.6">
      <c r="A198" s="75" t="s">
        <v>19</v>
      </c>
    </row>
    <row r="199" spans="1:21" ht="15.6">
      <c r="A199" s="16" t="s">
        <v>20</v>
      </c>
      <c r="B199" s="16" t="s">
        <v>21</v>
      </c>
      <c r="C199" s="16" t="s">
        <v>18</v>
      </c>
      <c r="D199" s="16" t="s">
        <v>22</v>
      </c>
      <c r="E199" s="16" t="s">
        <v>7</v>
      </c>
      <c r="F199" s="16" t="s">
        <v>13</v>
      </c>
      <c r="G199" s="16" t="s">
        <v>16</v>
      </c>
      <c r="H199" s="16" t="s">
        <v>23</v>
      </c>
      <c r="I199" s="16" t="s">
        <v>24</v>
      </c>
      <c r="J199" s="16" t="s">
        <v>25</v>
      </c>
      <c r="K199" s="16" t="s">
        <v>26</v>
      </c>
      <c r="L199" s="16" t="s">
        <v>27</v>
      </c>
      <c r="M199" s="16" t="s">
        <v>28</v>
      </c>
      <c r="N199" s="16" t="s">
        <v>11</v>
      </c>
      <c r="R199" t="s">
        <v>554</v>
      </c>
      <c r="U199" s="111"/>
    </row>
    <row r="200" spans="1:21" ht="15.6">
      <c r="A200" t="s">
        <v>1732</v>
      </c>
      <c r="B200" s="158">
        <v>0.73</v>
      </c>
      <c r="C200" t="s">
        <v>609</v>
      </c>
      <c r="D200" s="109" t="s">
        <v>2</v>
      </c>
      <c r="E200" t="s">
        <v>29</v>
      </c>
      <c r="F200" t="s">
        <v>14</v>
      </c>
      <c r="G200" t="s">
        <v>30</v>
      </c>
      <c r="H200">
        <v>1</v>
      </c>
      <c r="I200">
        <f>B200</f>
        <v>0.73</v>
      </c>
      <c r="J200" t="s">
        <v>31</v>
      </c>
      <c r="K200" t="s">
        <v>31</v>
      </c>
      <c r="L200" t="s">
        <v>31</v>
      </c>
      <c r="M200" t="s">
        <v>31</v>
      </c>
      <c r="O200" s="169" t="s">
        <v>892</v>
      </c>
      <c r="P200" s="133">
        <f>B200*100</f>
        <v>73</v>
      </c>
      <c r="R200" s="139">
        <v>0.82</v>
      </c>
      <c r="S200" s="140" t="s">
        <v>610</v>
      </c>
      <c r="T200" s="139">
        <f>R200*S197</f>
        <v>3.6489999999999995E-2</v>
      </c>
      <c r="U200" s="140" t="s">
        <v>241</v>
      </c>
    </row>
    <row r="201" spans="1:21" ht="15.6">
      <c r="A201" t="s">
        <v>1734</v>
      </c>
      <c r="B201" s="158">
        <v>0.73</v>
      </c>
      <c r="C201" t="s">
        <v>609</v>
      </c>
      <c r="D201" s="109" t="s">
        <v>2</v>
      </c>
      <c r="E201" t="s">
        <v>29</v>
      </c>
      <c r="F201" t="s">
        <v>14</v>
      </c>
      <c r="G201" t="s">
        <v>33</v>
      </c>
      <c r="H201">
        <v>1</v>
      </c>
      <c r="I201">
        <f t="shared" ref="I201:I202" si="17">B201</f>
        <v>0.73</v>
      </c>
      <c r="J201">
        <v>7.2284161474004766E-2</v>
      </c>
      <c r="K201" t="s">
        <v>31</v>
      </c>
      <c r="L201" t="s">
        <v>31</v>
      </c>
      <c r="M201" t="s">
        <v>31</v>
      </c>
      <c r="O201" s="101" t="s">
        <v>892</v>
      </c>
      <c r="P201" s="114">
        <f>B201*100</f>
        <v>73</v>
      </c>
    </row>
    <row r="202" spans="1:21" ht="15.6">
      <c r="A202" s="59" t="s">
        <v>1689</v>
      </c>
      <c r="B202" s="124">
        <f>T200</f>
        <v>3.6489999999999995E-2</v>
      </c>
      <c r="C202" t="s">
        <v>37</v>
      </c>
      <c r="D202" s="109" t="s">
        <v>2</v>
      </c>
      <c r="E202" t="s">
        <v>29</v>
      </c>
      <c r="F202" s="74" t="s">
        <v>14</v>
      </c>
      <c r="G202" t="s">
        <v>33</v>
      </c>
      <c r="H202">
        <v>1</v>
      </c>
      <c r="I202">
        <f t="shared" si="17"/>
        <v>3.6489999999999995E-2</v>
      </c>
      <c r="J202">
        <v>7.2284161474004766E-2</v>
      </c>
      <c r="K202" t="s">
        <v>31</v>
      </c>
      <c r="L202" t="s">
        <v>31</v>
      </c>
      <c r="M202" t="s">
        <v>31</v>
      </c>
      <c r="O202" s="59"/>
      <c r="P202" s="120"/>
    </row>
    <row r="203" spans="1:21" ht="15.6">
      <c r="A203" s="76" t="s">
        <v>799</v>
      </c>
      <c r="B203">
        <f>P203</f>
        <v>6.6</v>
      </c>
      <c r="C203" t="s">
        <v>37</v>
      </c>
      <c r="D203" s="17" t="s">
        <v>40</v>
      </c>
      <c r="E203" t="s">
        <v>29</v>
      </c>
      <c r="F203" s="74" t="s">
        <v>74</v>
      </c>
      <c r="G203" t="s">
        <v>33</v>
      </c>
      <c r="H203">
        <v>2</v>
      </c>
      <c r="I203">
        <f t="shared" ref="I203" si="18">LN(B203)</f>
        <v>1.8870696490323797</v>
      </c>
      <c r="J203">
        <v>7.2284161474004766E-2</v>
      </c>
      <c r="K203" t="s">
        <v>31</v>
      </c>
      <c r="L203" t="s">
        <v>31</v>
      </c>
      <c r="M203" t="s">
        <v>31</v>
      </c>
      <c r="O203" s="101" t="s">
        <v>241</v>
      </c>
      <c r="P203" s="114">
        <v>6.6</v>
      </c>
    </row>
    <row r="204" spans="1:21" ht="15.6">
      <c r="A204" s="88" t="s">
        <v>874</v>
      </c>
      <c r="B204" s="170">
        <f>R204</f>
        <v>2.9999999999999999E-7</v>
      </c>
      <c r="C204" t="s">
        <v>37</v>
      </c>
      <c r="D204" s="17" t="s">
        <v>40</v>
      </c>
      <c r="E204" t="s">
        <v>29</v>
      </c>
      <c r="F204" s="74" t="s">
        <v>59</v>
      </c>
      <c r="G204" t="s">
        <v>33</v>
      </c>
      <c r="H204">
        <v>2</v>
      </c>
      <c r="I204">
        <f>LN(B204)</f>
        <v>-15.01948336229021</v>
      </c>
      <c r="J204">
        <v>7.2284161474004766E-2</v>
      </c>
      <c r="K204" t="s">
        <v>31</v>
      </c>
      <c r="L204" t="s">
        <v>31</v>
      </c>
      <c r="M204" t="s">
        <v>31</v>
      </c>
      <c r="O204" s="116" t="s">
        <v>538</v>
      </c>
      <c r="P204" s="150">
        <v>0.3</v>
      </c>
      <c r="Q204" t="s">
        <v>241</v>
      </c>
      <c r="R204">
        <f>0.000001*P204</f>
        <v>2.9999999999999999E-7</v>
      </c>
    </row>
    <row r="205" spans="1:21" ht="15.6">
      <c r="A205" s="88" t="s">
        <v>76</v>
      </c>
      <c r="B205" s="170">
        <f>R205</f>
        <v>6.6E-3</v>
      </c>
      <c r="C205" t="s">
        <v>42</v>
      </c>
      <c r="D205" s="17" t="s">
        <v>40</v>
      </c>
      <c r="E205" t="s">
        <v>29</v>
      </c>
      <c r="F205" s="74" t="s">
        <v>74</v>
      </c>
      <c r="G205" t="s">
        <v>33</v>
      </c>
      <c r="H205">
        <v>2</v>
      </c>
      <c r="I205">
        <f t="shared" ref="I205" si="19">LN(B205)</f>
        <v>-5.0206856299497575</v>
      </c>
      <c r="J205">
        <v>7.2284161474004766E-2</v>
      </c>
      <c r="K205" t="s">
        <v>31</v>
      </c>
      <c r="L205" t="s">
        <v>31</v>
      </c>
      <c r="M205" t="s">
        <v>31</v>
      </c>
      <c r="O205" s="118" t="s">
        <v>863</v>
      </c>
      <c r="P205" s="119">
        <v>6.6</v>
      </c>
      <c r="Q205" t="s">
        <v>251</v>
      </c>
      <c r="R205">
        <f>0.001*P205</f>
        <v>6.6E-3</v>
      </c>
    </row>
    <row r="206" spans="1:21" s="70" customFormat="1" ht="15.6">
      <c r="A206" s="67" t="s">
        <v>5</v>
      </c>
      <c r="B206" s="123" t="s">
        <v>1734</v>
      </c>
      <c r="C206" s="69"/>
    </row>
    <row r="207" spans="1:21">
      <c r="A207" s="71" t="s">
        <v>7</v>
      </c>
      <c r="B207" t="s">
        <v>1654</v>
      </c>
      <c r="C207" s="72"/>
    </row>
    <row r="208" spans="1:21">
      <c r="A208" s="126" t="s">
        <v>9</v>
      </c>
      <c r="B208" t="s">
        <v>1735</v>
      </c>
      <c r="C208" s="72"/>
    </row>
    <row r="209" spans="1:19" ht="15.75" customHeight="1">
      <c r="A209" s="71" t="s">
        <v>11</v>
      </c>
      <c r="B209" s="73" t="s">
        <v>796</v>
      </c>
    </row>
    <row r="210" spans="1:19">
      <c r="A210" s="71" t="s">
        <v>13</v>
      </c>
      <c r="B210" t="s">
        <v>14</v>
      </c>
    </row>
    <row r="211" spans="1:19">
      <c r="A211" s="71" t="s">
        <v>15</v>
      </c>
      <c r="B211" s="127">
        <f>B216</f>
        <v>0.73</v>
      </c>
    </row>
    <row r="212" spans="1:19">
      <c r="A212" s="71" t="s">
        <v>16</v>
      </c>
      <c r="B212" t="s">
        <v>17</v>
      </c>
    </row>
    <row r="213" spans="1:19">
      <c r="A213" s="71" t="s">
        <v>18</v>
      </c>
      <c r="B213" t="s">
        <v>609</v>
      </c>
      <c r="S213" s="115"/>
    </row>
    <row r="214" spans="1:19" ht="15.6">
      <c r="A214" s="75" t="s">
        <v>19</v>
      </c>
    </row>
    <row r="215" spans="1:19" ht="15.6">
      <c r="A215" s="16" t="s">
        <v>20</v>
      </c>
      <c r="B215" s="16" t="s">
        <v>21</v>
      </c>
      <c r="C215" s="16" t="s">
        <v>18</v>
      </c>
      <c r="D215" s="16" t="s">
        <v>22</v>
      </c>
      <c r="E215" s="16" t="s">
        <v>7</v>
      </c>
      <c r="F215" s="16" t="s">
        <v>13</v>
      </c>
      <c r="G215" s="16" t="s">
        <v>16</v>
      </c>
      <c r="H215" s="16" t="s">
        <v>23</v>
      </c>
      <c r="I215" s="16" t="s">
        <v>24</v>
      </c>
      <c r="J215" s="16" t="s">
        <v>25</v>
      </c>
      <c r="K215" s="16" t="s">
        <v>26</v>
      </c>
      <c r="L215" s="16" t="s">
        <v>27</v>
      </c>
      <c r="M215" s="16" t="s">
        <v>28</v>
      </c>
      <c r="N215" s="16" t="s">
        <v>11</v>
      </c>
    </row>
    <row r="216" spans="1:19" ht="15.6">
      <c r="A216" t="s">
        <v>1734</v>
      </c>
      <c r="B216" s="115">
        <f>P216</f>
        <v>0.73</v>
      </c>
      <c r="C216" t="s">
        <v>609</v>
      </c>
      <c r="D216" s="109" t="s">
        <v>2</v>
      </c>
      <c r="E216" t="s">
        <v>29</v>
      </c>
      <c r="F216" t="s">
        <v>14</v>
      </c>
      <c r="G216" t="s">
        <v>30</v>
      </c>
      <c r="H216">
        <v>1</v>
      </c>
      <c r="I216" s="115">
        <f>B216</f>
        <v>0.73</v>
      </c>
      <c r="J216" t="s">
        <v>31</v>
      </c>
      <c r="K216" t="s">
        <v>31</v>
      </c>
      <c r="L216" t="s">
        <v>31</v>
      </c>
      <c r="M216" t="s">
        <v>31</v>
      </c>
      <c r="O216" s="101" t="s">
        <v>610</v>
      </c>
      <c r="P216" s="158">
        <v>0.73</v>
      </c>
    </row>
    <row r="217" spans="1:19" ht="15.6">
      <c r="A217" t="s">
        <v>1692</v>
      </c>
      <c r="B217" s="115">
        <v>5.63</v>
      </c>
      <c r="C217" t="s">
        <v>37</v>
      </c>
      <c r="D217" s="109" t="s">
        <v>2</v>
      </c>
      <c r="E217" t="s">
        <v>29</v>
      </c>
      <c r="F217" t="s">
        <v>14</v>
      </c>
      <c r="G217" t="s">
        <v>33</v>
      </c>
      <c r="H217">
        <v>1</v>
      </c>
      <c r="I217" s="115">
        <f>B217</f>
        <v>5.63</v>
      </c>
      <c r="J217" t="s">
        <v>31</v>
      </c>
      <c r="K217" t="s">
        <v>31</v>
      </c>
      <c r="L217" t="s">
        <v>31</v>
      </c>
      <c r="M217" t="s">
        <v>31</v>
      </c>
      <c r="O217" s="128"/>
      <c r="P217" s="158">
        <v>0.73</v>
      </c>
      <c r="Q217" t="s">
        <v>1736</v>
      </c>
    </row>
    <row r="218" spans="1:19" ht="15.6">
      <c r="A218" s="76" t="s">
        <v>38</v>
      </c>
      <c r="B218" s="122">
        <f>P218</f>
        <v>0.36</v>
      </c>
      <c r="C218" t="s">
        <v>39</v>
      </c>
      <c r="D218" s="17" t="s">
        <v>40</v>
      </c>
      <c r="E218" t="s">
        <v>29</v>
      </c>
      <c r="F218" s="74" t="s">
        <v>35</v>
      </c>
      <c r="G218" t="s">
        <v>33</v>
      </c>
      <c r="H218">
        <v>2</v>
      </c>
      <c r="I218">
        <f t="shared" ref="I218:I219" si="20">LN(B218)</f>
        <v>-1.0216512475319814</v>
      </c>
      <c r="J218">
        <v>7.2284161474004766E-2</v>
      </c>
      <c r="K218" t="s">
        <v>31</v>
      </c>
      <c r="L218" t="s">
        <v>31</v>
      </c>
      <c r="M218" t="s">
        <v>31</v>
      </c>
      <c r="O218" s="101" t="s">
        <v>248</v>
      </c>
      <c r="P218" s="114">
        <v>0.36</v>
      </c>
    </row>
    <row r="219" spans="1:19" ht="15.6">
      <c r="A219" s="88" t="s">
        <v>310</v>
      </c>
      <c r="B219">
        <f>R219</f>
        <v>9.0000000000000011E-3</v>
      </c>
      <c r="C219" s="115" t="s">
        <v>37</v>
      </c>
      <c r="D219" s="17" t="s">
        <v>40</v>
      </c>
      <c r="E219" t="s">
        <v>29</v>
      </c>
      <c r="F219" t="s">
        <v>59</v>
      </c>
      <c r="G219" t="s">
        <v>33</v>
      </c>
      <c r="H219">
        <v>2</v>
      </c>
      <c r="I219">
        <f t="shared" si="20"/>
        <v>-4.7105307016459177</v>
      </c>
      <c r="J219">
        <v>7.2284161474004766E-2</v>
      </c>
      <c r="K219" t="s">
        <v>31</v>
      </c>
      <c r="L219" t="s">
        <v>31</v>
      </c>
      <c r="M219" t="s">
        <v>31</v>
      </c>
      <c r="O219" s="101" t="s">
        <v>580</v>
      </c>
      <c r="P219" s="114">
        <v>9</v>
      </c>
      <c r="Q219" t="s">
        <v>241</v>
      </c>
      <c r="R219">
        <f>P219*0.001</f>
        <v>9.0000000000000011E-3</v>
      </c>
    </row>
    <row r="220" spans="1:19" ht="15.6">
      <c r="A220" s="112" t="s">
        <v>871</v>
      </c>
      <c r="B220">
        <f t="shared" ref="B220:B221" si="21">R220</f>
        <v>1.6E-2</v>
      </c>
      <c r="C220" t="s">
        <v>37</v>
      </c>
      <c r="D220" s="17" t="s">
        <v>40</v>
      </c>
      <c r="E220" t="s">
        <v>29</v>
      </c>
      <c r="F220" s="74" t="s">
        <v>35</v>
      </c>
      <c r="G220" t="s">
        <v>33</v>
      </c>
      <c r="H220">
        <v>2</v>
      </c>
      <c r="I220">
        <f>LN(B220)</f>
        <v>-4.1351665567423561</v>
      </c>
      <c r="J220">
        <v>7.2284161474004766E-2</v>
      </c>
      <c r="K220" t="s">
        <v>31</v>
      </c>
      <c r="L220" t="s">
        <v>31</v>
      </c>
      <c r="M220" t="s">
        <v>31</v>
      </c>
      <c r="O220" s="101" t="s">
        <v>580</v>
      </c>
      <c r="P220" s="114">
        <v>16</v>
      </c>
      <c r="Q220" t="s">
        <v>241</v>
      </c>
      <c r="R220">
        <f>P220*0.001</f>
        <v>1.6E-2</v>
      </c>
    </row>
    <row r="221" spans="1:19" ht="15.6">
      <c r="A221" s="76" t="s">
        <v>799</v>
      </c>
      <c r="B221">
        <f t="shared" si="21"/>
        <v>13.9</v>
      </c>
      <c r="C221" t="s">
        <v>37</v>
      </c>
      <c r="D221" s="17" t="s">
        <v>40</v>
      </c>
      <c r="E221" t="s">
        <v>29</v>
      </c>
      <c r="F221" s="74" t="s">
        <v>74</v>
      </c>
      <c r="G221" t="s">
        <v>33</v>
      </c>
      <c r="H221">
        <v>2</v>
      </c>
      <c r="I221">
        <f t="shared" ref="I221:I222" si="22">LN(B221)</f>
        <v>2.631888840136646</v>
      </c>
      <c r="J221">
        <v>7.2284161474004766E-2</v>
      </c>
      <c r="K221" t="s">
        <v>31</v>
      </c>
      <c r="L221" t="s">
        <v>31</v>
      </c>
      <c r="M221" t="s">
        <v>31</v>
      </c>
      <c r="O221" s="101" t="s">
        <v>241</v>
      </c>
      <c r="P221" s="114">
        <v>13.9</v>
      </c>
      <c r="Q221" t="s">
        <v>241</v>
      </c>
      <c r="R221">
        <f>P221</f>
        <v>13.9</v>
      </c>
    </row>
    <row r="222" spans="1:19" ht="15.6">
      <c r="A222" s="88" t="s">
        <v>76</v>
      </c>
      <c r="B222">
        <f>R222</f>
        <v>1.3900000000000001E-2</v>
      </c>
      <c r="C222" t="s">
        <v>42</v>
      </c>
      <c r="D222" s="17" t="s">
        <v>40</v>
      </c>
      <c r="E222" t="s">
        <v>29</v>
      </c>
      <c r="F222" s="74" t="s">
        <v>74</v>
      </c>
      <c r="G222" t="s">
        <v>33</v>
      </c>
      <c r="H222">
        <v>2</v>
      </c>
      <c r="I222">
        <f t="shared" si="22"/>
        <v>-4.2758664388454912</v>
      </c>
      <c r="J222">
        <v>7.2284161474004766E-2</v>
      </c>
      <c r="K222" t="s">
        <v>31</v>
      </c>
      <c r="L222" t="s">
        <v>31</v>
      </c>
      <c r="M222" t="s">
        <v>31</v>
      </c>
      <c r="O222" s="118" t="s">
        <v>863</v>
      </c>
      <c r="P222" s="119">
        <v>13.9</v>
      </c>
      <c r="Q222" t="s">
        <v>251</v>
      </c>
      <c r="R222">
        <f>0.001*P222</f>
        <v>1.3900000000000001E-2</v>
      </c>
    </row>
    <row r="223" spans="1:19" s="70" customFormat="1" ht="15.6">
      <c r="A223" s="67" t="s">
        <v>5</v>
      </c>
      <c r="B223" s="161" t="s">
        <v>1727</v>
      </c>
      <c r="C223" s="69"/>
      <c r="P223"/>
    </row>
    <row r="224" spans="1:19">
      <c r="A224" s="71" t="s">
        <v>7</v>
      </c>
      <c r="B224" t="s">
        <v>1654</v>
      </c>
      <c r="C224" s="72"/>
    </row>
    <row r="225" spans="1:16">
      <c r="A225" s="126" t="s">
        <v>9</v>
      </c>
      <c r="B225" t="s">
        <v>1737</v>
      </c>
      <c r="C225" s="72"/>
    </row>
    <row r="226" spans="1:16" ht="15.75" customHeight="1">
      <c r="A226" s="71" t="s">
        <v>11</v>
      </c>
      <c r="B226" s="73" t="s">
        <v>796</v>
      </c>
    </row>
    <row r="227" spans="1:16">
      <c r="A227" s="71" t="s">
        <v>13</v>
      </c>
      <c r="B227" t="s">
        <v>14</v>
      </c>
    </row>
    <row r="228" spans="1:16">
      <c r="A228" s="71" t="s">
        <v>15</v>
      </c>
      <c r="B228" s="127">
        <f>B233</f>
        <v>1.7999999999999999E-2</v>
      </c>
    </row>
    <row r="229" spans="1:16">
      <c r="A229" s="71" t="s">
        <v>16</v>
      </c>
      <c r="B229" t="s">
        <v>17</v>
      </c>
    </row>
    <row r="230" spans="1:16">
      <c r="A230" s="71" t="s">
        <v>18</v>
      </c>
      <c r="B230" t="s">
        <v>609</v>
      </c>
    </row>
    <row r="231" spans="1:16" ht="15.6">
      <c r="A231" s="75" t="s">
        <v>19</v>
      </c>
    </row>
    <row r="232" spans="1:16" ht="15.6">
      <c r="A232" s="16" t="s">
        <v>20</v>
      </c>
      <c r="B232" s="16" t="s">
        <v>21</v>
      </c>
      <c r="C232" s="16" t="s">
        <v>18</v>
      </c>
      <c r="D232" s="16" t="s">
        <v>22</v>
      </c>
      <c r="E232" s="16" t="s">
        <v>7</v>
      </c>
      <c r="F232" s="16" t="s">
        <v>13</v>
      </c>
      <c r="G232" s="16" t="s">
        <v>16</v>
      </c>
      <c r="H232" s="16" t="s">
        <v>23</v>
      </c>
      <c r="I232" s="16" t="s">
        <v>24</v>
      </c>
      <c r="J232" s="16" t="s">
        <v>25</v>
      </c>
      <c r="K232" s="16" t="s">
        <v>26</v>
      </c>
      <c r="L232" s="16" t="s">
        <v>27</v>
      </c>
      <c r="M232" s="16" t="s">
        <v>28</v>
      </c>
      <c r="N232" s="16" t="s">
        <v>11</v>
      </c>
    </row>
    <row r="233" spans="1:16" ht="15.6">
      <c r="A233" t="s">
        <v>1727</v>
      </c>
      <c r="B233" s="115">
        <f>P233</f>
        <v>1.7999999999999999E-2</v>
      </c>
      <c r="C233" t="s">
        <v>609</v>
      </c>
      <c r="D233" s="109" t="s">
        <v>2</v>
      </c>
      <c r="E233" t="s">
        <v>29</v>
      </c>
      <c r="F233" s="74" t="s">
        <v>14</v>
      </c>
      <c r="G233" t="s">
        <v>30</v>
      </c>
      <c r="H233">
        <v>1</v>
      </c>
      <c r="I233" s="115">
        <f t="shared" ref="I233:I235" si="23">B233</f>
        <v>1.7999999999999999E-2</v>
      </c>
      <c r="J233" t="s">
        <v>31</v>
      </c>
      <c r="K233" t="s">
        <v>31</v>
      </c>
      <c r="L233" t="s">
        <v>31</v>
      </c>
      <c r="M233" t="s">
        <v>31</v>
      </c>
      <c r="O233" s="163" t="s">
        <v>823</v>
      </c>
      <c r="P233" s="160">
        <f>P234</f>
        <v>1.7999999999999999E-2</v>
      </c>
    </row>
    <row r="234" spans="1:16" ht="15.6">
      <c r="A234" t="s">
        <v>1738</v>
      </c>
      <c r="B234" s="115">
        <f>B254</f>
        <v>1.7999999999999999E-2</v>
      </c>
      <c r="C234" t="s">
        <v>609</v>
      </c>
      <c r="D234" s="109" t="s">
        <v>2</v>
      </c>
      <c r="E234" t="s">
        <v>29</v>
      </c>
      <c r="F234" s="74" t="s">
        <v>14</v>
      </c>
      <c r="G234" t="s">
        <v>33</v>
      </c>
      <c r="H234">
        <v>1</v>
      </c>
      <c r="I234" s="115">
        <f t="shared" si="23"/>
        <v>1.7999999999999999E-2</v>
      </c>
      <c r="J234" t="s">
        <v>31</v>
      </c>
      <c r="K234" t="s">
        <v>31</v>
      </c>
      <c r="L234" t="s">
        <v>31</v>
      </c>
      <c r="M234" t="s">
        <v>31</v>
      </c>
      <c r="O234" s="163" t="s">
        <v>823</v>
      </c>
      <c r="P234" s="164">
        <f>B254</f>
        <v>1.7999999999999999E-2</v>
      </c>
    </row>
    <row r="235" spans="1:16" ht="15.6">
      <c r="A235" t="s">
        <v>1739</v>
      </c>
      <c r="B235" s="115">
        <f>B242</f>
        <v>3.1000000000000003E-3</v>
      </c>
      <c r="C235" t="s">
        <v>609</v>
      </c>
      <c r="D235" s="109" t="s">
        <v>2</v>
      </c>
      <c r="E235" t="s">
        <v>29</v>
      </c>
      <c r="F235" s="74" t="s">
        <v>14</v>
      </c>
      <c r="G235" t="s">
        <v>33</v>
      </c>
      <c r="H235">
        <v>1</v>
      </c>
      <c r="I235" s="115">
        <f t="shared" si="23"/>
        <v>3.1000000000000003E-3</v>
      </c>
      <c r="J235" t="s">
        <v>31</v>
      </c>
      <c r="K235" t="s">
        <v>31</v>
      </c>
      <c r="L235" t="s">
        <v>31</v>
      </c>
      <c r="M235" t="s">
        <v>31</v>
      </c>
      <c r="O235" s="99" t="s">
        <v>823</v>
      </c>
      <c r="P235" s="160">
        <f>B242</f>
        <v>3.1000000000000003E-3</v>
      </c>
    </row>
    <row r="236" spans="1:16" ht="15.6">
      <c r="A236" s="76" t="s">
        <v>38</v>
      </c>
      <c r="B236" s="115">
        <f>P236</f>
        <v>0.43</v>
      </c>
      <c r="C236" t="s">
        <v>39</v>
      </c>
      <c r="D236" s="17" t="s">
        <v>40</v>
      </c>
      <c r="E236" t="s">
        <v>29</v>
      </c>
      <c r="F236" s="74" t="s">
        <v>35</v>
      </c>
      <c r="G236" t="s">
        <v>33</v>
      </c>
      <c r="H236">
        <v>2</v>
      </c>
      <c r="I236">
        <f t="shared" ref="I236" si="24">LN(B236)</f>
        <v>-0.84397007029452897</v>
      </c>
      <c r="J236">
        <v>0.20928449536456342</v>
      </c>
      <c r="K236" t="s">
        <v>31</v>
      </c>
      <c r="L236" t="s">
        <v>31</v>
      </c>
      <c r="M236" t="s">
        <v>31</v>
      </c>
      <c r="O236" s="101" t="s">
        <v>248</v>
      </c>
      <c r="P236" s="114">
        <v>0.43</v>
      </c>
    </row>
    <row r="237" spans="1:16" s="70" customFormat="1" ht="15.6">
      <c r="A237" s="67" t="s">
        <v>5</v>
      </c>
      <c r="B237" s="161" t="s">
        <v>1739</v>
      </c>
      <c r="C237" s="69"/>
    </row>
    <row r="238" spans="1:16">
      <c r="A238" s="71" t="s">
        <v>7</v>
      </c>
      <c r="B238" t="s">
        <v>1654</v>
      </c>
      <c r="C238" s="72"/>
    </row>
    <row r="239" spans="1:16">
      <c r="A239" s="126" t="s">
        <v>9</v>
      </c>
      <c r="B239" t="s">
        <v>1740</v>
      </c>
      <c r="C239" s="72"/>
    </row>
    <row r="240" spans="1:16" ht="15.75" customHeight="1">
      <c r="A240" s="71" t="s">
        <v>11</v>
      </c>
      <c r="B240" s="73" t="s">
        <v>796</v>
      </c>
    </row>
    <row r="241" spans="1:19">
      <c r="A241" s="71" t="s">
        <v>13</v>
      </c>
      <c r="B241" t="s">
        <v>14</v>
      </c>
    </row>
    <row r="242" spans="1:19">
      <c r="A242" s="71" t="s">
        <v>15</v>
      </c>
      <c r="B242" s="115">
        <f>B247</f>
        <v>3.1000000000000003E-3</v>
      </c>
    </row>
    <row r="243" spans="1:19">
      <c r="A243" s="71" t="s">
        <v>16</v>
      </c>
      <c r="B243" t="s">
        <v>17</v>
      </c>
    </row>
    <row r="244" spans="1:19">
      <c r="A244" s="71" t="s">
        <v>18</v>
      </c>
      <c r="B244" t="s">
        <v>609</v>
      </c>
    </row>
    <row r="245" spans="1:19" ht="15.6">
      <c r="A245" s="75" t="s">
        <v>19</v>
      </c>
    </row>
    <row r="246" spans="1:19" ht="15.6">
      <c r="A246" s="16" t="s">
        <v>20</v>
      </c>
      <c r="B246" s="16" t="s">
        <v>21</v>
      </c>
      <c r="C246" s="16" t="s">
        <v>18</v>
      </c>
      <c r="D246" s="16" t="s">
        <v>22</v>
      </c>
      <c r="E246" s="16" t="s">
        <v>7</v>
      </c>
      <c r="F246" s="16" t="s">
        <v>13</v>
      </c>
      <c r="G246" s="16" t="s">
        <v>16</v>
      </c>
      <c r="H246" s="16" t="s">
        <v>23</v>
      </c>
      <c r="I246" s="16" t="s">
        <v>24</v>
      </c>
      <c r="J246" s="16" t="s">
        <v>25</v>
      </c>
      <c r="K246" s="16" t="s">
        <v>26</v>
      </c>
      <c r="L246" s="16" t="s">
        <v>27</v>
      </c>
      <c r="M246" s="16" t="s">
        <v>28</v>
      </c>
      <c r="N246" s="16" t="s">
        <v>11</v>
      </c>
    </row>
    <row r="247" spans="1:19" ht="15.6">
      <c r="A247" t="s">
        <v>1739</v>
      </c>
      <c r="B247" s="115">
        <f>S247</f>
        <v>3.1000000000000003E-3</v>
      </c>
      <c r="C247" t="s">
        <v>609</v>
      </c>
      <c r="D247" s="109" t="s">
        <v>2</v>
      </c>
      <c r="E247" t="s">
        <v>29</v>
      </c>
      <c r="F247" s="74" t="s">
        <v>14</v>
      </c>
      <c r="G247" t="s">
        <v>30</v>
      </c>
      <c r="H247">
        <v>1</v>
      </c>
      <c r="I247" s="115">
        <f>B247</f>
        <v>3.1000000000000003E-3</v>
      </c>
      <c r="J247" t="s">
        <v>31</v>
      </c>
      <c r="K247" t="s">
        <v>31</v>
      </c>
      <c r="L247" t="s">
        <v>31</v>
      </c>
      <c r="M247" t="s">
        <v>31</v>
      </c>
      <c r="P247" s="101" t="s">
        <v>1125</v>
      </c>
      <c r="Q247" s="158">
        <v>31</v>
      </c>
      <c r="R247" t="s">
        <v>610</v>
      </c>
      <c r="S247">
        <f>Q247*0.0001</f>
        <v>3.1000000000000003E-3</v>
      </c>
    </row>
    <row r="248" spans="1:19">
      <c r="A248" s="88" t="s">
        <v>947</v>
      </c>
      <c r="B248" s="115">
        <f>S248</f>
        <v>3.1000000000000003E-3</v>
      </c>
      <c r="C248" t="s">
        <v>609</v>
      </c>
      <c r="D248" t="s">
        <v>40</v>
      </c>
      <c r="E248" t="s">
        <v>29</v>
      </c>
      <c r="F248" t="s">
        <v>59</v>
      </c>
      <c r="G248" t="s">
        <v>33</v>
      </c>
      <c r="H248">
        <v>2</v>
      </c>
      <c r="I248">
        <f>LN(B248)</f>
        <v>-5.7763531674910364</v>
      </c>
      <c r="J248">
        <v>3.7749172176353707E-2</v>
      </c>
      <c r="K248" t="s">
        <v>31</v>
      </c>
      <c r="L248" t="s">
        <v>31</v>
      </c>
      <c r="M248" t="s">
        <v>31</v>
      </c>
      <c r="P248" s="99" t="s">
        <v>1125</v>
      </c>
      <c r="Q248" s="158">
        <v>31</v>
      </c>
      <c r="R248" t="s">
        <v>610</v>
      </c>
      <c r="S248">
        <f>Q248*0.0001</f>
        <v>3.1000000000000003E-3</v>
      </c>
    </row>
    <row r="249" spans="1:19" s="70" customFormat="1" ht="15.6">
      <c r="A249" s="67" t="s">
        <v>5</v>
      </c>
      <c r="B249" s="123" t="s">
        <v>1738</v>
      </c>
    </row>
    <row r="250" spans="1:19">
      <c r="A250" s="71" t="s">
        <v>7</v>
      </c>
      <c r="B250" t="s">
        <v>1654</v>
      </c>
      <c r="C250" s="72"/>
    </row>
    <row r="251" spans="1:19">
      <c r="A251" s="126" t="s">
        <v>9</v>
      </c>
      <c r="B251" t="s">
        <v>1741</v>
      </c>
      <c r="C251" s="72"/>
    </row>
    <row r="252" spans="1:19" ht="15.75" customHeight="1">
      <c r="A252" s="71" t="s">
        <v>11</v>
      </c>
      <c r="B252" s="73" t="s">
        <v>796</v>
      </c>
    </row>
    <row r="253" spans="1:19">
      <c r="A253" s="71" t="s">
        <v>13</v>
      </c>
      <c r="B253" t="s">
        <v>14</v>
      </c>
    </row>
    <row r="254" spans="1:19">
      <c r="A254" s="71" t="s">
        <v>15</v>
      </c>
      <c r="B254" s="115">
        <f>B259</f>
        <v>1.7999999999999999E-2</v>
      </c>
    </row>
    <row r="255" spans="1:19">
      <c r="A255" s="71" t="s">
        <v>16</v>
      </c>
      <c r="B255" t="s">
        <v>17</v>
      </c>
    </row>
    <row r="256" spans="1:19">
      <c r="A256" s="71" t="s">
        <v>18</v>
      </c>
      <c r="B256" t="s">
        <v>609</v>
      </c>
    </row>
    <row r="257" spans="1:18" ht="15.6">
      <c r="A257" s="75" t="s">
        <v>19</v>
      </c>
    </row>
    <row r="258" spans="1:18" ht="15.6">
      <c r="A258" s="16" t="s">
        <v>20</v>
      </c>
      <c r="B258" s="16" t="s">
        <v>21</v>
      </c>
      <c r="C258" s="16" t="s">
        <v>18</v>
      </c>
      <c r="D258" s="16" t="s">
        <v>22</v>
      </c>
      <c r="E258" s="16" t="s">
        <v>7</v>
      </c>
      <c r="F258" s="16" t="s">
        <v>13</v>
      </c>
      <c r="G258" s="16" t="s">
        <v>16</v>
      </c>
      <c r="H258" s="16" t="s">
        <v>23</v>
      </c>
      <c r="I258" s="16" t="s">
        <v>24</v>
      </c>
      <c r="J258" s="16" t="s">
        <v>25</v>
      </c>
      <c r="K258" s="16" t="s">
        <v>26</v>
      </c>
      <c r="L258" s="16" t="s">
        <v>27</v>
      </c>
      <c r="M258" s="16" t="s">
        <v>28</v>
      </c>
      <c r="N258" s="16" t="s">
        <v>11</v>
      </c>
    </row>
    <row r="259" spans="1:18" ht="15.6">
      <c r="A259" t="s">
        <v>1738</v>
      </c>
      <c r="B259" s="115">
        <f>B260</f>
        <v>1.7999999999999999E-2</v>
      </c>
      <c r="C259" t="s">
        <v>609</v>
      </c>
      <c r="D259" s="109" t="s">
        <v>2</v>
      </c>
      <c r="E259" t="s">
        <v>29</v>
      </c>
      <c r="F259" s="74" t="s">
        <v>14</v>
      </c>
      <c r="G259" t="s">
        <v>30</v>
      </c>
      <c r="H259">
        <v>1</v>
      </c>
      <c r="I259" s="115">
        <f t="shared" ref="I259:I260" si="25">B259</f>
        <v>1.7999999999999999E-2</v>
      </c>
      <c r="J259" t="s">
        <v>31</v>
      </c>
      <c r="K259" t="s">
        <v>31</v>
      </c>
      <c r="L259" t="s">
        <v>31</v>
      </c>
      <c r="M259" t="s">
        <v>31</v>
      </c>
    </row>
    <row r="260" spans="1:18" ht="15.6">
      <c r="A260" t="s">
        <v>1742</v>
      </c>
      <c r="B260" s="115">
        <f>P260</f>
        <v>1.7999999999999999E-2</v>
      </c>
      <c r="C260" t="s">
        <v>609</v>
      </c>
      <c r="D260" s="109" t="s">
        <v>2</v>
      </c>
      <c r="E260" t="s">
        <v>29</v>
      </c>
      <c r="F260" t="s">
        <v>14</v>
      </c>
      <c r="G260" t="s">
        <v>33</v>
      </c>
      <c r="H260">
        <v>1</v>
      </c>
      <c r="I260" s="115">
        <f t="shared" si="25"/>
        <v>1.7999999999999999E-2</v>
      </c>
      <c r="J260" t="s">
        <v>31</v>
      </c>
      <c r="K260" t="s">
        <v>31</v>
      </c>
      <c r="L260" t="s">
        <v>31</v>
      </c>
      <c r="M260" t="s">
        <v>31</v>
      </c>
      <c r="P260" s="171">
        <f>P277</f>
        <v>1.7999999999999999E-2</v>
      </c>
    </row>
    <row r="261" spans="1:18" ht="15.6">
      <c r="A261" s="76" t="s">
        <v>38</v>
      </c>
      <c r="B261" s="122">
        <f>R261</f>
        <v>0.16</v>
      </c>
      <c r="C261" t="s">
        <v>39</v>
      </c>
      <c r="D261" s="17" t="s">
        <v>40</v>
      </c>
      <c r="E261" t="s">
        <v>29</v>
      </c>
      <c r="F261" s="74" t="s">
        <v>35</v>
      </c>
      <c r="G261" t="s">
        <v>33</v>
      </c>
      <c r="H261">
        <v>2</v>
      </c>
      <c r="I261">
        <f t="shared" ref="I261:I265" si="26">LN(B261)</f>
        <v>-1.8325814637483102</v>
      </c>
      <c r="J261">
        <v>0.20928449536456342</v>
      </c>
      <c r="K261" t="s">
        <v>31</v>
      </c>
      <c r="L261" t="s">
        <v>31</v>
      </c>
      <c r="M261" t="s">
        <v>31</v>
      </c>
      <c r="O261" s="78" t="s">
        <v>248</v>
      </c>
      <c r="P261" s="114">
        <v>0.16</v>
      </c>
      <c r="Q261" t="s">
        <v>248</v>
      </c>
      <c r="R261" s="122">
        <f>P261</f>
        <v>0.16</v>
      </c>
    </row>
    <row r="262" spans="1:18" ht="15.6">
      <c r="A262" s="88" t="s">
        <v>798</v>
      </c>
      <c r="B262">
        <f>R262</f>
        <v>5.0000000000000001E-3</v>
      </c>
      <c r="C262" t="s">
        <v>37</v>
      </c>
      <c r="D262" s="17" t="s">
        <v>40</v>
      </c>
      <c r="E262" t="s">
        <v>29</v>
      </c>
      <c r="F262" s="74" t="s">
        <v>35</v>
      </c>
      <c r="G262" t="s">
        <v>33</v>
      </c>
      <c r="H262">
        <v>2</v>
      </c>
      <c r="I262">
        <f t="shared" si="26"/>
        <v>-5.2983173665480363</v>
      </c>
      <c r="J262">
        <v>0.20928449536456342</v>
      </c>
      <c r="K262" t="s">
        <v>31</v>
      </c>
      <c r="L262" t="s">
        <v>31</v>
      </c>
      <c r="M262" t="s">
        <v>31</v>
      </c>
      <c r="O262" s="101" t="s">
        <v>580</v>
      </c>
      <c r="P262" s="114">
        <v>5</v>
      </c>
      <c r="Q262" t="s">
        <v>241</v>
      </c>
      <c r="R262">
        <f>0.001*P262</f>
        <v>5.0000000000000001E-3</v>
      </c>
    </row>
    <row r="263" spans="1:18" ht="15.6">
      <c r="A263" s="88" t="s">
        <v>308</v>
      </c>
      <c r="B263">
        <f>R263</f>
        <v>8.0000000000000004E-4</v>
      </c>
      <c r="C263" t="s">
        <v>37</v>
      </c>
      <c r="D263" s="17" t="s">
        <v>40</v>
      </c>
      <c r="E263" t="s">
        <v>29</v>
      </c>
      <c r="F263" s="74" t="s">
        <v>59</v>
      </c>
      <c r="G263" t="s">
        <v>33</v>
      </c>
      <c r="H263">
        <v>2</v>
      </c>
      <c r="I263">
        <f t="shared" si="26"/>
        <v>-7.1308988302963465</v>
      </c>
      <c r="J263">
        <v>0.20928449536456342</v>
      </c>
      <c r="K263" t="s">
        <v>31</v>
      </c>
      <c r="L263" t="s">
        <v>31</v>
      </c>
      <c r="M263" t="s">
        <v>31</v>
      </c>
      <c r="O263" s="101" t="s">
        <v>580</v>
      </c>
      <c r="P263" s="114">
        <v>0.8</v>
      </c>
      <c r="Q263" t="s">
        <v>241</v>
      </c>
      <c r="R263">
        <f>0.001*P263</f>
        <v>8.0000000000000004E-4</v>
      </c>
    </row>
    <row r="264" spans="1:18" ht="15.6">
      <c r="A264" s="76" t="s">
        <v>799</v>
      </c>
      <c r="B264">
        <f>R264</f>
        <v>2.4399999999999998E-2</v>
      </c>
      <c r="C264" t="s">
        <v>37</v>
      </c>
      <c r="D264" s="17" t="s">
        <v>40</v>
      </c>
      <c r="E264" t="s">
        <v>29</v>
      </c>
      <c r="F264" s="74" t="s">
        <v>74</v>
      </c>
      <c r="G264" t="s">
        <v>33</v>
      </c>
      <c r="H264">
        <v>2</v>
      </c>
      <c r="I264">
        <f t="shared" si="26"/>
        <v>-3.713172146682981</v>
      </c>
      <c r="J264">
        <v>0.20928449536456342</v>
      </c>
      <c r="K264" t="s">
        <v>31</v>
      </c>
      <c r="L264" t="s">
        <v>31</v>
      </c>
      <c r="M264" t="s">
        <v>31</v>
      </c>
      <c r="O264" s="101" t="s">
        <v>580</v>
      </c>
      <c r="P264" s="114">
        <v>24.4</v>
      </c>
      <c r="Q264" t="s">
        <v>241</v>
      </c>
      <c r="R264">
        <f>0.001*P264</f>
        <v>2.4399999999999998E-2</v>
      </c>
    </row>
    <row r="265" spans="1:18" ht="15.6">
      <c r="A265" s="17" t="s">
        <v>1657</v>
      </c>
      <c r="B265">
        <f>R265</f>
        <v>5.7000000000000002E-3</v>
      </c>
      <c r="C265" t="s">
        <v>37</v>
      </c>
      <c r="D265" s="109" t="s">
        <v>2</v>
      </c>
      <c r="E265" t="s">
        <v>29</v>
      </c>
      <c r="F265" s="74" t="s">
        <v>74</v>
      </c>
      <c r="G265" t="s">
        <v>33</v>
      </c>
      <c r="H265">
        <v>2</v>
      </c>
      <c r="I265">
        <f t="shared" si="26"/>
        <v>-5.1672891041416324</v>
      </c>
      <c r="J265">
        <v>0.20928449536456342</v>
      </c>
      <c r="K265" t="s">
        <v>31</v>
      </c>
      <c r="L265" t="s">
        <v>31</v>
      </c>
      <c r="M265" t="s">
        <v>31</v>
      </c>
      <c r="O265" s="166" t="s">
        <v>580</v>
      </c>
      <c r="P265" s="119">
        <v>5.7</v>
      </c>
      <c r="Q265" t="s">
        <v>241</v>
      </c>
      <c r="R265">
        <f>0.001*P265</f>
        <v>5.7000000000000002E-3</v>
      </c>
    </row>
    <row r="266" spans="1:18" s="70" customFormat="1" ht="15.6">
      <c r="A266" s="67" t="s">
        <v>5</v>
      </c>
      <c r="B266" s="123" t="s">
        <v>1742</v>
      </c>
    </row>
    <row r="267" spans="1:18">
      <c r="A267" s="71" t="s">
        <v>7</v>
      </c>
      <c r="B267" t="s">
        <v>1654</v>
      </c>
      <c r="C267" s="72"/>
    </row>
    <row r="268" spans="1:18">
      <c r="A268" s="126" t="s">
        <v>9</v>
      </c>
      <c r="B268" t="s">
        <v>1743</v>
      </c>
      <c r="C268" s="72"/>
    </row>
    <row r="269" spans="1:18" ht="15.75" customHeight="1">
      <c r="A269" s="71" t="s">
        <v>11</v>
      </c>
      <c r="B269" s="73" t="s">
        <v>796</v>
      </c>
    </row>
    <row r="270" spans="1:18">
      <c r="A270" s="71" t="s">
        <v>13</v>
      </c>
      <c r="B270" t="s">
        <v>14</v>
      </c>
    </row>
    <row r="271" spans="1:18">
      <c r="A271" s="71" t="s">
        <v>15</v>
      </c>
      <c r="B271" s="115">
        <f>B276</f>
        <v>1.7999999999999999E-2</v>
      </c>
    </row>
    <row r="272" spans="1:18">
      <c r="A272" s="71" t="s">
        <v>16</v>
      </c>
      <c r="B272" t="s">
        <v>17</v>
      </c>
    </row>
    <row r="273" spans="1:18">
      <c r="A273" s="71" t="s">
        <v>18</v>
      </c>
      <c r="B273" t="s">
        <v>609</v>
      </c>
    </row>
    <row r="274" spans="1:18" ht="15.6">
      <c r="A274" s="75" t="s">
        <v>19</v>
      </c>
    </row>
    <row r="275" spans="1:18" ht="15.6">
      <c r="A275" s="16" t="s">
        <v>20</v>
      </c>
      <c r="B275" s="16" t="s">
        <v>21</v>
      </c>
      <c r="C275" s="16" t="s">
        <v>18</v>
      </c>
      <c r="D275" s="16" t="s">
        <v>22</v>
      </c>
      <c r="E275" s="16" t="s">
        <v>7</v>
      </c>
      <c r="F275" s="16" t="s">
        <v>13</v>
      </c>
      <c r="G275" s="16" t="s">
        <v>16</v>
      </c>
      <c r="H275" s="16" t="s">
        <v>23</v>
      </c>
      <c r="I275" s="16" t="s">
        <v>24</v>
      </c>
      <c r="J275" s="16" t="s">
        <v>25</v>
      </c>
      <c r="K275" s="16" t="s">
        <v>26</v>
      </c>
      <c r="L275" s="16" t="s">
        <v>27</v>
      </c>
      <c r="M275" s="16" t="s">
        <v>28</v>
      </c>
      <c r="N275" s="16" t="s">
        <v>11</v>
      </c>
    </row>
    <row r="276" spans="1:18" ht="15.6">
      <c r="A276" t="s">
        <v>1742</v>
      </c>
      <c r="B276" s="115">
        <f>P277</f>
        <v>1.7999999999999999E-2</v>
      </c>
      <c r="C276" t="s">
        <v>609</v>
      </c>
      <c r="D276" s="109" t="s">
        <v>2</v>
      </c>
      <c r="E276" t="s">
        <v>29</v>
      </c>
      <c r="F276" t="s">
        <v>14</v>
      </c>
      <c r="G276" t="s">
        <v>30</v>
      </c>
      <c r="H276">
        <v>1</v>
      </c>
      <c r="I276" s="115">
        <f t="shared" ref="I276:I277" si="27">B276</f>
        <v>1.7999999999999999E-2</v>
      </c>
      <c r="J276" t="s">
        <v>31</v>
      </c>
      <c r="K276" t="s">
        <v>31</v>
      </c>
      <c r="L276" t="s">
        <v>31</v>
      </c>
      <c r="M276" t="s">
        <v>31</v>
      </c>
    </row>
    <row r="277" spans="1:18" ht="15.6">
      <c r="A277" t="s">
        <v>1744</v>
      </c>
      <c r="B277" s="115">
        <f>P277</f>
        <v>1.7999999999999999E-2</v>
      </c>
      <c r="C277" t="s">
        <v>609</v>
      </c>
      <c r="D277" s="109" t="s">
        <v>2</v>
      </c>
      <c r="E277" t="s">
        <v>29</v>
      </c>
      <c r="F277" t="s">
        <v>14</v>
      </c>
      <c r="G277" t="s">
        <v>33</v>
      </c>
      <c r="H277">
        <v>1</v>
      </c>
      <c r="I277" s="115">
        <f t="shared" si="27"/>
        <v>1.7999999999999999E-2</v>
      </c>
      <c r="J277" t="s">
        <v>31</v>
      </c>
      <c r="K277" t="s">
        <v>31</v>
      </c>
      <c r="L277" t="s">
        <v>31</v>
      </c>
      <c r="M277" t="s">
        <v>31</v>
      </c>
      <c r="P277" s="160">
        <v>1.7999999999999999E-2</v>
      </c>
    </row>
    <row r="278" spans="1:18" ht="15.6">
      <c r="A278" s="76" t="s">
        <v>38</v>
      </c>
      <c r="B278" s="122">
        <f>P278</f>
        <v>3.4400000000000004</v>
      </c>
      <c r="C278" t="s">
        <v>39</v>
      </c>
      <c r="D278" s="17" t="s">
        <v>40</v>
      </c>
      <c r="E278" t="s">
        <v>29</v>
      </c>
      <c r="F278" s="74" t="s">
        <v>35</v>
      </c>
      <c r="G278" t="s">
        <v>33</v>
      </c>
      <c r="H278">
        <v>2</v>
      </c>
      <c r="I278">
        <f t="shared" ref="I278:I279" si="28">LN(B278)</f>
        <v>1.235471471385307</v>
      </c>
      <c r="J278">
        <v>0.20928449536456342</v>
      </c>
      <c r="K278" t="s">
        <v>31</v>
      </c>
      <c r="L278" t="s">
        <v>31</v>
      </c>
      <c r="M278" t="s">
        <v>31</v>
      </c>
      <c r="O278" s="101" t="s">
        <v>248</v>
      </c>
      <c r="P278" s="114">
        <f>2.37+1.07</f>
        <v>3.4400000000000004</v>
      </c>
    </row>
    <row r="279" spans="1:18" ht="15.6">
      <c r="A279" s="76" t="s">
        <v>799</v>
      </c>
      <c r="B279" s="122">
        <f>R279</f>
        <v>6.9000000000000008E-3</v>
      </c>
      <c r="C279" t="s">
        <v>37</v>
      </c>
      <c r="D279" s="17" t="s">
        <v>40</v>
      </c>
      <c r="E279" t="s">
        <v>29</v>
      </c>
      <c r="F279" s="74" t="s">
        <v>74</v>
      </c>
      <c r="G279" t="s">
        <v>33</v>
      </c>
      <c r="H279">
        <v>2</v>
      </c>
      <c r="I279">
        <f t="shared" si="28"/>
        <v>-4.976233867378923</v>
      </c>
      <c r="J279">
        <v>0.20928449536456342</v>
      </c>
      <c r="K279" t="s">
        <v>31</v>
      </c>
      <c r="L279" t="s">
        <v>31</v>
      </c>
      <c r="M279" t="s">
        <v>31</v>
      </c>
      <c r="O279" s="101" t="s">
        <v>580</v>
      </c>
      <c r="P279" s="114">
        <v>6.9</v>
      </c>
      <c r="Q279" t="s">
        <v>241</v>
      </c>
      <c r="R279">
        <f>P279*0.001</f>
        <v>6.9000000000000008E-3</v>
      </c>
    </row>
    <row r="280" spans="1:18">
      <c r="A280" s="88" t="s">
        <v>545</v>
      </c>
      <c r="B280" s="122">
        <f>R280</f>
        <v>8.4000000000000012E-3</v>
      </c>
      <c r="C280" t="s">
        <v>37</v>
      </c>
      <c r="D280" t="s">
        <v>40</v>
      </c>
      <c r="E280" t="s">
        <v>29</v>
      </c>
      <c r="F280" t="s">
        <v>35</v>
      </c>
      <c r="G280" t="s">
        <v>33</v>
      </c>
      <c r="H280">
        <v>2</v>
      </c>
      <c r="I280">
        <f>LN(B280)</f>
        <v>-4.7795235731328694</v>
      </c>
      <c r="J280">
        <v>0.20928449536456342</v>
      </c>
      <c r="K280" t="s">
        <v>31</v>
      </c>
      <c r="L280" t="s">
        <v>31</v>
      </c>
      <c r="M280" t="s">
        <v>31</v>
      </c>
      <c r="O280" s="101" t="s">
        <v>580</v>
      </c>
      <c r="P280" s="114">
        <v>8.4</v>
      </c>
      <c r="Q280" t="s">
        <v>241</v>
      </c>
      <c r="R280">
        <f>P280*0.001</f>
        <v>8.4000000000000012E-3</v>
      </c>
    </row>
    <row r="281" spans="1:18" ht="15.6">
      <c r="A281" s="17" t="s">
        <v>1657</v>
      </c>
      <c r="B281" s="122">
        <f>R281</f>
        <v>8.4000000000000012E-3</v>
      </c>
      <c r="C281" t="s">
        <v>37</v>
      </c>
      <c r="D281" s="109" t="s">
        <v>2</v>
      </c>
      <c r="E281" t="s">
        <v>29</v>
      </c>
      <c r="F281" s="74" t="s">
        <v>74</v>
      </c>
      <c r="G281" t="s">
        <v>33</v>
      </c>
      <c r="H281">
        <v>2</v>
      </c>
      <c r="I281">
        <f t="shared" ref="I281" si="29">LN(B281)</f>
        <v>-4.7795235731328694</v>
      </c>
      <c r="J281">
        <v>0.20928449536456342</v>
      </c>
      <c r="K281" t="s">
        <v>31</v>
      </c>
      <c r="L281" t="s">
        <v>31</v>
      </c>
      <c r="M281" t="s">
        <v>31</v>
      </c>
      <c r="O281" s="166" t="s">
        <v>580</v>
      </c>
      <c r="P281" s="119">
        <v>8.4</v>
      </c>
      <c r="Q281" t="s">
        <v>241</v>
      </c>
      <c r="R281">
        <f>0.001*P281</f>
        <v>8.4000000000000012E-3</v>
      </c>
    </row>
    <row r="282" spans="1:18" s="70" customFormat="1" ht="15.6">
      <c r="A282" s="67" t="s">
        <v>5</v>
      </c>
      <c r="B282" s="123" t="s">
        <v>1744</v>
      </c>
    </row>
    <row r="283" spans="1:18">
      <c r="A283" s="71" t="s">
        <v>7</v>
      </c>
      <c r="B283" t="s">
        <v>1654</v>
      </c>
      <c r="C283" s="72"/>
    </row>
    <row r="284" spans="1:18">
      <c r="A284" s="126" t="s">
        <v>9</v>
      </c>
      <c r="B284" t="s">
        <v>1745</v>
      </c>
      <c r="C284" s="72"/>
    </row>
    <row r="285" spans="1:18" ht="15.75" customHeight="1">
      <c r="A285" s="71" t="s">
        <v>11</v>
      </c>
      <c r="B285" s="73" t="s">
        <v>796</v>
      </c>
    </row>
    <row r="286" spans="1:18">
      <c r="A286" s="71" t="s">
        <v>13</v>
      </c>
      <c r="B286" t="s">
        <v>14</v>
      </c>
    </row>
    <row r="287" spans="1:18">
      <c r="A287" s="71" t="s">
        <v>15</v>
      </c>
      <c r="B287" s="115">
        <f>B292</f>
        <v>0.03</v>
      </c>
    </row>
    <row r="288" spans="1:18">
      <c r="A288" s="71" t="s">
        <v>16</v>
      </c>
      <c r="B288" t="s">
        <v>17</v>
      </c>
      <c r="R288" s="131" t="s">
        <v>885</v>
      </c>
    </row>
    <row r="289" spans="1:21">
      <c r="A289" s="71" t="s">
        <v>18</v>
      </c>
      <c r="B289" t="s">
        <v>609</v>
      </c>
      <c r="R289" t="s">
        <v>886</v>
      </c>
      <c r="S289">
        <v>8900</v>
      </c>
      <c r="T289" t="s">
        <v>887</v>
      </c>
    </row>
    <row r="290" spans="1:21" ht="15.6">
      <c r="A290" s="75" t="s">
        <v>19</v>
      </c>
      <c r="R290" t="s">
        <v>888</v>
      </c>
      <c r="S290">
        <f>5*10^-6</f>
        <v>4.9999999999999996E-6</v>
      </c>
      <c r="T290" t="s">
        <v>889</v>
      </c>
    </row>
    <row r="291" spans="1:21" ht="15.6">
      <c r="A291" s="16" t="s">
        <v>20</v>
      </c>
      <c r="B291" s="16" t="s">
        <v>21</v>
      </c>
      <c r="C291" s="16" t="s">
        <v>18</v>
      </c>
      <c r="D291" s="16" t="s">
        <v>22</v>
      </c>
      <c r="E291" s="16" t="s">
        <v>7</v>
      </c>
      <c r="F291" s="16" t="s">
        <v>13</v>
      </c>
      <c r="G291" s="16" t="s">
        <v>16</v>
      </c>
      <c r="H291" s="16" t="s">
        <v>23</v>
      </c>
      <c r="I291" s="16" t="s">
        <v>24</v>
      </c>
      <c r="J291" s="16" t="s">
        <v>25</v>
      </c>
      <c r="K291" s="16" t="s">
        <v>26</v>
      </c>
      <c r="L291" s="16" t="s">
        <v>27</v>
      </c>
      <c r="M291" s="16" t="s">
        <v>28</v>
      </c>
      <c r="N291" s="16" t="s">
        <v>11</v>
      </c>
      <c r="R291" s="134" t="s">
        <v>890</v>
      </c>
      <c r="S291" s="135">
        <f>S290*S289</f>
        <v>4.4499999999999998E-2</v>
      </c>
      <c r="T291" s="136" t="s">
        <v>891</v>
      </c>
    </row>
    <row r="292" spans="1:21" ht="15.6">
      <c r="A292" t="s">
        <v>1744</v>
      </c>
      <c r="B292" s="115">
        <v>0.03</v>
      </c>
      <c r="C292" t="s">
        <v>609</v>
      </c>
      <c r="D292" s="109" t="s">
        <v>2</v>
      </c>
      <c r="E292" t="s">
        <v>29</v>
      </c>
      <c r="F292" t="s">
        <v>14</v>
      </c>
      <c r="G292" t="s">
        <v>30</v>
      </c>
      <c r="H292">
        <v>1</v>
      </c>
      <c r="I292" s="115">
        <f t="shared" ref="I292:I294" si="30">B292</f>
        <v>0.03</v>
      </c>
      <c r="J292" t="s">
        <v>31</v>
      </c>
      <c r="K292" t="s">
        <v>31</v>
      </c>
      <c r="L292" t="s">
        <v>31</v>
      </c>
      <c r="M292" t="s">
        <v>31</v>
      </c>
      <c r="O292" s="101" t="s">
        <v>892</v>
      </c>
      <c r="P292" s="114">
        <f>B292*100</f>
        <v>3</v>
      </c>
    </row>
    <row r="293" spans="1:21" ht="15.6">
      <c r="A293" t="s">
        <v>1746</v>
      </c>
      <c r="B293" s="115">
        <v>0.03</v>
      </c>
      <c r="C293" t="s">
        <v>609</v>
      </c>
      <c r="D293" s="109" t="s">
        <v>2</v>
      </c>
      <c r="E293" t="s">
        <v>29</v>
      </c>
      <c r="F293" t="s">
        <v>14</v>
      </c>
      <c r="G293" t="s">
        <v>33</v>
      </c>
      <c r="H293">
        <v>1</v>
      </c>
      <c r="I293" s="115">
        <f t="shared" si="30"/>
        <v>0.03</v>
      </c>
      <c r="J293">
        <v>7.2284161474004766E-2</v>
      </c>
      <c r="K293" t="s">
        <v>31</v>
      </c>
      <c r="L293" t="s">
        <v>31</v>
      </c>
      <c r="M293" t="s">
        <v>31</v>
      </c>
      <c r="O293" s="101" t="s">
        <v>892</v>
      </c>
      <c r="P293" s="114">
        <f>B293*100</f>
        <v>3</v>
      </c>
      <c r="R293" t="s">
        <v>554</v>
      </c>
      <c r="U293" s="111"/>
    </row>
    <row r="294" spans="1:21" ht="15.6">
      <c r="A294" s="59" t="s">
        <v>1689</v>
      </c>
      <c r="B294" s="124">
        <f>R294</f>
        <v>0.82</v>
      </c>
      <c r="C294" t="s">
        <v>37</v>
      </c>
      <c r="D294" s="109" t="s">
        <v>2</v>
      </c>
      <c r="E294" t="s">
        <v>29</v>
      </c>
      <c r="F294" s="74" t="s">
        <v>14</v>
      </c>
      <c r="G294" t="s">
        <v>33</v>
      </c>
      <c r="H294">
        <v>1</v>
      </c>
      <c r="I294" s="115">
        <f t="shared" si="30"/>
        <v>0.82</v>
      </c>
      <c r="J294">
        <v>7.2284161474004766E-2</v>
      </c>
      <c r="K294" t="s">
        <v>31</v>
      </c>
      <c r="L294" t="s">
        <v>31</v>
      </c>
      <c r="M294" t="s">
        <v>31</v>
      </c>
      <c r="O294" s="128"/>
      <c r="P294" s="129"/>
      <c r="R294" s="139">
        <v>0.82</v>
      </c>
      <c r="S294" s="140" t="s">
        <v>610</v>
      </c>
      <c r="T294" s="139">
        <f>R294*S291</f>
        <v>3.6489999999999995E-2</v>
      </c>
      <c r="U294" s="140" t="s">
        <v>241</v>
      </c>
    </row>
    <row r="295" spans="1:21" ht="15.6">
      <c r="A295" s="76" t="s">
        <v>799</v>
      </c>
      <c r="B295">
        <f>P295</f>
        <v>6.6</v>
      </c>
      <c r="C295" t="s">
        <v>37</v>
      </c>
      <c r="D295" s="17" t="s">
        <v>40</v>
      </c>
      <c r="E295" t="s">
        <v>29</v>
      </c>
      <c r="F295" s="74" t="s">
        <v>74</v>
      </c>
      <c r="G295" t="s">
        <v>33</v>
      </c>
      <c r="H295">
        <v>2</v>
      </c>
      <c r="I295">
        <f t="shared" ref="I295" si="31">LN(B295)</f>
        <v>1.8870696490323797</v>
      </c>
      <c r="J295">
        <v>7.2284161474004766E-2</v>
      </c>
      <c r="K295" t="s">
        <v>31</v>
      </c>
      <c r="L295" t="s">
        <v>31</v>
      </c>
      <c r="M295" t="s">
        <v>31</v>
      </c>
      <c r="O295" s="101" t="s">
        <v>241</v>
      </c>
      <c r="P295" s="114">
        <v>6.6</v>
      </c>
    </row>
    <row r="296" spans="1:21" ht="15.6">
      <c r="A296" s="88" t="s">
        <v>874</v>
      </c>
      <c r="B296" s="122">
        <f>R296</f>
        <v>2.9999999999999999E-7</v>
      </c>
      <c r="C296" t="s">
        <v>37</v>
      </c>
      <c r="D296" s="17" t="s">
        <v>40</v>
      </c>
      <c r="E296" t="s">
        <v>29</v>
      </c>
      <c r="F296" s="74" t="s">
        <v>59</v>
      </c>
      <c r="G296" t="s">
        <v>33</v>
      </c>
      <c r="H296">
        <v>2</v>
      </c>
      <c r="I296">
        <f>LN(B296)</f>
        <v>-15.01948336229021</v>
      </c>
      <c r="J296">
        <v>7.2284161474004766E-2</v>
      </c>
      <c r="K296" t="s">
        <v>31</v>
      </c>
      <c r="L296" t="s">
        <v>31</v>
      </c>
      <c r="M296" t="s">
        <v>31</v>
      </c>
      <c r="O296" s="116" t="s">
        <v>538</v>
      </c>
      <c r="P296" s="150">
        <v>0.3</v>
      </c>
      <c r="Q296" s="101" t="s">
        <v>241</v>
      </c>
      <c r="R296">
        <f>P296*0.000001</f>
        <v>2.9999999999999999E-7</v>
      </c>
    </row>
    <row r="297" spans="1:21" ht="15.6">
      <c r="A297" s="88" t="s">
        <v>76</v>
      </c>
      <c r="B297">
        <f>R297</f>
        <v>6.6E-3</v>
      </c>
      <c r="C297" t="s">
        <v>42</v>
      </c>
      <c r="D297" s="17" t="s">
        <v>40</v>
      </c>
      <c r="E297" t="s">
        <v>29</v>
      </c>
      <c r="F297" s="74" t="s">
        <v>74</v>
      </c>
      <c r="G297" t="s">
        <v>33</v>
      </c>
      <c r="H297">
        <v>2</v>
      </c>
      <c r="I297">
        <f t="shared" ref="I297" si="32">LN(B297)</f>
        <v>-5.0206856299497575</v>
      </c>
      <c r="J297">
        <v>7.2284161474004766E-2</v>
      </c>
      <c r="K297" t="s">
        <v>31</v>
      </c>
      <c r="L297" t="s">
        <v>31</v>
      </c>
      <c r="M297" t="s">
        <v>31</v>
      </c>
      <c r="O297" s="118" t="s">
        <v>863</v>
      </c>
      <c r="P297" s="119">
        <v>6.6</v>
      </c>
      <c r="Q297" t="s">
        <v>251</v>
      </c>
      <c r="R297">
        <f>P297*0.001</f>
        <v>6.6E-3</v>
      </c>
    </row>
    <row r="298" spans="1:21" s="70" customFormat="1" ht="15.6">
      <c r="A298" s="67" t="s">
        <v>5</v>
      </c>
      <c r="B298" s="123" t="s">
        <v>1746</v>
      </c>
    </row>
    <row r="299" spans="1:21">
      <c r="A299" s="71" t="s">
        <v>7</v>
      </c>
      <c r="B299" t="s">
        <v>1654</v>
      </c>
      <c r="C299" s="72"/>
    </row>
    <row r="300" spans="1:21">
      <c r="A300" s="126" t="s">
        <v>9</v>
      </c>
      <c r="B300" t="s">
        <v>1747</v>
      </c>
      <c r="C300" s="72"/>
    </row>
    <row r="301" spans="1:21" ht="15.75" customHeight="1">
      <c r="A301" s="71" t="s">
        <v>11</v>
      </c>
      <c r="B301" s="73" t="s">
        <v>796</v>
      </c>
    </row>
    <row r="302" spans="1:21">
      <c r="A302" s="71" t="s">
        <v>13</v>
      </c>
      <c r="B302" t="s">
        <v>14</v>
      </c>
    </row>
    <row r="303" spans="1:21">
      <c r="A303" s="71" t="s">
        <v>15</v>
      </c>
      <c r="B303" s="115">
        <f>B308</f>
        <v>1.7999999999999999E-2</v>
      </c>
    </row>
    <row r="304" spans="1:21">
      <c r="A304" s="71" t="s">
        <v>16</v>
      </c>
      <c r="B304" t="s">
        <v>17</v>
      </c>
    </row>
    <row r="305" spans="1:20">
      <c r="A305" s="71" t="s">
        <v>18</v>
      </c>
      <c r="B305" t="s">
        <v>609</v>
      </c>
    </row>
    <row r="306" spans="1:20" ht="15.6">
      <c r="A306" s="75" t="s">
        <v>19</v>
      </c>
    </row>
    <row r="307" spans="1:20" ht="15.6">
      <c r="A307" s="16" t="s">
        <v>20</v>
      </c>
      <c r="B307" s="16" t="s">
        <v>21</v>
      </c>
      <c r="C307" s="16" t="s">
        <v>18</v>
      </c>
      <c r="D307" s="16" t="s">
        <v>22</v>
      </c>
      <c r="E307" s="16" t="s">
        <v>7</v>
      </c>
      <c r="F307" s="16" t="s">
        <v>13</v>
      </c>
      <c r="G307" s="16" t="s">
        <v>16</v>
      </c>
      <c r="H307" s="16" t="s">
        <v>23</v>
      </c>
      <c r="I307" s="16" t="s">
        <v>24</v>
      </c>
      <c r="J307" s="16" t="s">
        <v>25</v>
      </c>
      <c r="K307" s="16" t="s">
        <v>26</v>
      </c>
      <c r="L307" s="16" t="s">
        <v>27</v>
      </c>
      <c r="M307" s="16" t="s">
        <v>28</v>
      </c>
      <c r="N307" s="16" t="s">
        <v>11</v>
      </c>
      <c r="T307" s="115"/>
    </row>
    <row r="308" spans="1:20" ht="15.6">
      <c r="A308" t="s">
        <v>1746</v>
      </c>
      <c r="B308" s="115">
        <f t="shared" ref="B308:B318" si="33">P308</f>
        <v>1.7999999999999999E-2</v>
      </c>
      <c r="C308" t="s">
        <v>609</v>
      </c>
      <c r="D308" s="109" t="s">
        <v>2</v>
      </c>
      <c r="E308" t="s">
        <v>29</v>
      </c>
      <c r="F308" t="s">
        <v>14</v>
      </c>
      <c r="G308" t="s">
        <v>30</v>
      </c>
      <c r="H308">
        <v>1</v>
      </c>
      <c r="I308" s="115">
        <f t="shared" ref="I308:I309" si="34">B308</f>
        <v>1.7999999999999999E-2</v>
      </c>
      <c r="J308" t="s">
        <v>31</v>
      </c>
      <c r="K308" t="s">
        <v>31</v>
      </c>
      <c r="L308" t="s">
        <v>31</v>
      </c>
      <c r="M308" t="s">
        <v>31</v>
      </c>
      <c r="P308" s="165">
        <v>1.7999999999999999E-2</v>
      </c>
    </row>
    <row r="309" spans="1:20" ht="15.6">
      <c r="A309" t="s">
        <v>1748</v>
      </c>
      <c r="B309" s="115">
        <f t="shared" si="33"/>
        <v>1.7999999999999999E-2</v>
      </c>
      <c r="C309" t="s">
        <v>609</v>
      </c>
      <c r="D309" s="109" t="s">
        <v>2</v>
      </c>
      <c r="E309" t="s">
        <v>29</v>
      </c>
      <c r="F309" t="s">
        <v>14</v>
      </c>
      <c r="G309" t="s">
        <v>33</v>
      </c>
      <c r="H309">
        <v>1</v>
      </c>
      <c r="I309" s="115">
        <f t="shared" si="34"/>
        <v>1.7999999999999999E-2</v>
      </c>
      <c r="J309" t="s">
        <v>31</v>
      </c>
      <c r="K309" t="s">
        <v>31</v>
      </c>
      <c r="L309" t="s">
        <v>31</v>
      </c>
      <c r="M309" t="s">
        <v>31</v>
      </c>
      <c r="P309" s="165">
        <v>1.7999999999999999E-2</v>
      </c>
    </row>
    <row r="310" spans="1:20" ht="15.6">
      <c r="A310" s="76" t="s">
        <v>38</v>
      </c>
      <c r="B310" s="122">
        <f t="shared" si="33"/>
        <v>0.23</v>
      </c>
      <c r="C310" t="s">
        <v>39</v>
      </c>
      <c r="D310" s="17" t="s">
        <v>40</v>
      </c>
      <c r="E310" t="s">
        <v>29</v>
      </c>
      <c r="F310" s="74" t="s">
        <v>35</v>
      </c>
      <c r="G310" t="s">
        <v>33</v>
      </c>
      <c r="H310">
        <v>2</v>
      </c>
      <c r="I310">
        <f t="shared" ref="I310" si="35">LN(B310)</f>
        <v>-1.4696759700589417</v>
      </c>
      <c r="J310">
        <v>0.22500000000000006</v>
      </c>
      <c r="K310" t="s">
        <v>31</v>
      </c>
      <c r="L310" t="s">
        <v>31</v>
      </c>
      <c r="M310" t="s">
        <v>31</v>
      </c>
      <c r="O310" s="101" t="s">
        <v>248</v>
      </c>
      <c r="P310" s="114">
        <v>0.23</v>
      </c>
    </row>
    <row r="311" spans="1:20">
      <c r="A311" s="88" t="s">
        <v>680</v>
      </c>
      <c r="B311" s="115">
        <f t="shared" si="33"/>
        <v>1.0699999999999999E-2</v>
      </c>
      <c r="C311" t="s">
        <v>37</v>
      </c>
      <c r="D311" t="s">
        <v>40</v>
      </c>
      <c r="E311" t="s">
        <v>29</v>
      </c>
      <c r="F311" t="s">
        <v>35</v>
      </c>
      <c r="G311" t="s">
        <v>33</v>
      </c>
      <c r="H311">
        <v>2</v>
      </c>
      <c r="I311">
        <f>LN(B311)</f>
        <v>-4.5375115375142769</v>
      </c>
      <c r="J311">
        <v>0.22500000000000006</v>
      </c>
      <c r="K311" t="s">
        <v>31</v>
      </c>
      <c r="L311" t="s">
        <v>31</v>
      </c>
      <c r="M311" t="s">
        <v>31</v>
      </c>
      <c r="O311" s="101" t="s">
        <v>241</v>
      </c>
      <c r="P311" s="172">
        <v>1.0699999999999999E-2</v>
      </c>
    </row>
    <row r="312" spans="1:20">
      <c r="A312" t="s">
        <v>957</v>
      </c>
      <c r="B312" s="115">
        <f t="shared" si="33"/>
        <v>2.3300000000000001E-2</v>
      </c>
      <c r="C312" t="s">
        <v>37</v>
      </c>
      <c r="D312" t="s">
        <v>40</v>
      </c>
      <c r="E312" t="s">
        <v>29</v>
      </c>
      <c r="F312" t="s">
        <v>59</v>
      </c>
      <c r="G312" t="s">
        <v>33</v>
      </c>
      <c r="H312">
        <v>2</v>
      </c>
      <c r="I312">
        <f t="shared" ref="I312:I318" si="36">LN(B312)</f>
        <v>-3.7593019184104821</v>
      </c>
      <c r="J312">
        <v>0.22500000000000006</v>
      </c>
      <c r="K312" t="s">
        <v>31</v>
      </c>
      <c r="L312" t="s">
        <v>31</v>
      </c>
      <c r="M312" t="s">
        <v>31</v>
      </c>
      <c r="O312" s="101" t="s">
        <v>241</v>
      </c>
      <c r="P312" s="172">
        <v>2.3300000000000001E-2</v>
      </c>
    </row>
    <row r="313" spans="1:20">
      <c r="A313" s="88" t="s">
        <v>545</v>
      </c>
      <c r="B313" s="115">
        <f t="shared" si="33"/>
        <v>1.0699999999999999E-2</v>
      </c>
      <c r="C313" t="s">
        <v>37</v>
      </c>
      <c r="D313" t="s">
        <v>40</v>
      </c>
      <c r="E313" t="s">
        <v>29</v>
      </c>
      <c r="F313" t="s">
        <v>35</v>
      </c>
      <c r="G313" t="s">
        <v>33</v>
      </c>
      <c r="H313">
        <v>2</v>
      </c>
      <c r="I313">
        <f t="shared" si="36"/>
        <v>-4.5375115375142769</v>
      </c>
      <c r="J313">
        <v>0.22500000000000006</v>
      </c>
      <c r="K313" t="s">
        <v>31</v>
      </c>
      <c r="L313" t="s">
        <v>31</v>
      </c>
      <c r="M313" t="s">
        <v>31</v>
      </c>
      <c r="O313" s="101" t="s">
        <v>241</v>
      </c>
      <c r="P313" s="172">
        <v>1.0699999999999999E-2</v>
      </c>
    </row>
    <row r="314" spans="1:20">
      <c r="A314" s="88" t="s">
        <v>958</v>
      </c>
      <c r="B314" s="115">
        <f t="shared" si="33"/>
        <v>8.0999999999999996E-3</v>
      </c>
      <c r="C314" t="s">
        <v>37</v>
      </c>
      <c r="D314" t="s">
        <v>40</v>
      </c>
      <c r="E314" t="s">
        <v>29</v>
      </c>
      <c r="F314" t="s">
        <v>59</v>
      </c>
      <c r="G314" t="s">
        <v>33</v>
      </c>
      <c r="H314">
        <v>2</v>
      </c>
      <c r="I314">
        <f t="shared" si="36"/>
        <v>-4.8158912173037436</v>
      </c>
      <c r="J314">
        <v>0.22500000000000006</v>
      </c>
      <c r="K314" t="s">
        <v>31</v>
      </c>
      <c r="L314" t="s">
        <v>31</v>
      </c>
      <c r="M314" t="s">
        <v>31</v>
      </c>
      <c r="O314" s="101" t="s">
        <v>241</v>
      </c>
      <c r="P314" s="172">
        <v>8.0999999999999996E-3</v>
      </c>
    </row>
    <row r="315" spans="1:20">
      <c r="A315" s="88" t="s">
        <v>193</v>
      </c>
      <c r="B315" s="115">
        <f t="shared" si="33"/>
        <v>2.3300000000000001E-2</v>
      </c>
      <c r="C315" t="s">
        <v>37</v>
      </c>
      <c r="D315" t="s">
        <v>40</v>
      </c>
      <c r="E315" t="s">
        <v>29</v>
      </c>
      <c r="F315" t="s">
        <v>59</v>
      </c>
      <c r="G315" t="s">
        <v>33</v>
      </c>
      <c r="H315">
        <v>2</v>
      </c>
      <c r="I315">
        <f t="shared" si="36"/>
        <v>-3.7593019184104821</v>
      </c>
      <c r="J315">
        <v>0.22500000000000006</v>
      </c>
      <c r="K315" t="s">
        <v>31</v>
      </c>
      <c r="L315" t="s">
        <v>31</v>
      </c>
      <c r="M315" t="s">
        <v>31</v>
      </c>
      <c r="O315" s="101" t="s">
        <v>241</v>
      </c>
      <c r="P315" s="172">
        <v>2.3300000000000001E-2</v>
      </c>
    </row>
    <row r="316" spans="1:20" ht="15.6">
      <c r="A316" s="76" t="s">
        <v>799</v>
      </c>
      <c r="B316" s="115">
        <f t="shared" si="33"/>
        <v>0.42899999999999999</v>
      </c>
      <c r="C316" t="s">
        <v>37</v>
      </c>
      <c r="D316" s="17" t="s">
        <v>40</v>
      </c>
      <c r="E316" t="s">
        <v>29</v>
      </c>
      <c r="F316" s="74" t="s">
        <v>74</v>
      </c>
      <c r="G316" t="s">
        <v>33</v>
      </c>
      <c r="H316">
        <v>2</v>
      </c>
      <c r="I316">
        <f t="shared" si="36"/>
        <v>-0.84629836005412007</v>
      </c>
      <c r="J316">
        <v>0.22500000000000006</v>
      </c>
      <c r="K316" t="s">
        <v>31</v>
      </c>
      <c r="L316" t="s">
        <v>31</v>
      </c>
      <c r="M316" t="s">
        <v>31</v>
      </c>
      <c r="O316" s="101" t="s">
        <v>241</v>
      </c>
      <c r="P316" s="172">
        <v>0.42899999999999999</v>
      </c>
    </row>
    <row r="317" spans="1:20">
      <c r="A317" s="88" t="s">
        <v>758</v>
      </c>
      <c r="B317" s="115">
        <f t="shared" si="33"/>
        <v>4.1000000000000003E-3</v>
      </c>
      <c r="C317" t="s">
        <v>37</v>
      </c>
      <c r="D317" t="s">
        <v>43</v>
      </c>
      <c r="E317" t="s">
        <v>44</v>
      </c>
      <c r="F317" t="s">
        <v>29</v>
      </c>
      <c r="G317" t="s">
        <v>45</v>
      </c>
      <c r="H317">
        <v>2</v>
      </c>
      <c r="I317">
        <f t="shared" si="36"/>
        <v>-5.4967683052718748</v>
      </c>
      <c r="J317">
        <v>0.22500000000000006</v>
      </c>
      <c r="K317" t="s">
        <v>31</v>
      </c>
      <c r="L317" t="s">
        <v>31</v>
      </c>
      <c r="M317" t="s">
        <v>31</v>
      </c>
      <c r="O317" s="116" t="s">
        <v>241</v>
      </c>
      <c r="P317" s="117">
        <v>4.1000000000000003E-3</v>
      </c>
    </row>
    <row r="318" spans="1:20" ht="15.6">
      <c r="A318" s="17" t="s">
        <v>1657</v>
      </c>
      <c r="B318" s="115">
        <f t="shared" si="33"/>
        <v>7.6999999999999999E-2</v>
      </c>
      <c r="C318" t="s">
        <v>37</v>
      </c>
      <c r="D318" s="109" t="s">
        <v>2</v>
      </c>
      <c r="E318" t="s">
        <v>29</v>
      </c>
      <c r="F318" s="74" t="s">
        <v>74</v>
      </c>
      <c r="G318" t="s">
        <v>33</v>
      </c>
      <c r="H318">
        <v>2</v>
      </c>
      <c r="I318">
        <f t="shared" si="36"/>
        <v>-2.5639498571284531</v>
      </c>
      <c r="J318">
        <v>0.22500000000000006</v>
      </c>
      <c r="K318" t="s">
        <v>31</v>
      </c>
      <c r="L318" t="s">
        <v>31</v>
      </c>
      <c r="M318" t="s">
        <v>31</v>
      </c>
      <c r="O318" s="118" t="s">
        <v>241</v>
      </c>
      <c r="P318" s="173">
        <v>7.6999999999999999E-2</v>
      </c>
    </row>
    <row r="319" spans="1:20" s="70" customFormat="1" ht="15.6">
      <c r="A319" s="67" t="s">
        <v>5</v>
      </c>
      <c r="B319" s="123" t="s">
        <v>1748</v>
      </c>
    </row>
    <row r="320" spans="1:20">
      <c r="A320" s="71" t="s">
        <v>7</v>
      </c>
      <c r="B320" t="s">
        <v>1654</v>
      </c>
      <c r="C320" s="72"/>
    </row>
    <row r="321" spans="1:20">
      <c r="A321" s="126" t="s">
        <v>9</v>
      </c>
      <c r="B321" t="s">
        <v>1749</v>
      </c>
      <c r="C321" s="72"/>
    </row>
    <row r="322" spans="1:20" ht="15.75" customHeight="1">
      <c r="A322" s="71" t="s">
        <v>11</v>
      </c>
      <c r="B322" s="73" t="s">
        <v>796</v>
      </c>
    </row>
    <row r="323" spans="1:20">
      <c r="A323" s="71" t="s">
        <v>13</v>
      </c>
      <c r="B323" t="s">
        <v>14</v>
      </c>
    </row>
    <row r="324" spans="1:20">
      <c r="A324" s="71" t="s">
        <v>15</v>
      </c>
      <c r="B324" s="115">
        <f>B329</f>
        <v>1.7999999999999999E-2</v>
      </c>
    </row>
    <row r="325" spans="1:20">
      <c r="A325" s="71" t="s">
        <v>16</v>
      </c>
      <c r="B325" t="s">
        <v>17</v>
      </c>
    </row>
    <row r="326" spans="1:20">
      <c r="A326" s="71" t="s">
        <v>18</v>
      </c>
      <c r="B326" t="s">
        <v>609</v>
      </c>
    </row>
    <row r="327" spans="1:20" ht="15.6">
      <c r="A327" s="75" t="s">
        <v>19</v>
      </c>
    </row>
    <row r="328" spans="1:20" ht="15.6">
      <c r="A328" s="16" t="s">
        <v>20</v>
      </c>
      <c r="B328" s="16" t="s">
        <v>21</v>
      </c>
      <c r="C328" s="16" t="s">
        <v>18</v>
      </c>
      <c r="D328" s="16" t="s">
        <v>22</v>
      </c>
      <c r="E328" s="16" t="s">
        <v>7</v>
      </c>
      <c r="F328" s="16" t="s">
        <v>13</v>
      </c>
      <c r="G328" s="16" t="s">
        <v>16</v>
      </c>
      <c r="H328" s="16" t="s">
        <v>23</v>
      </c>
      <c r="I328" s="16" t="s">
        <v>24</v>
      </c>
      <c r="J328" s="16" t="s">
        <v>25</v>
      </c>
      <c r="K328" s="16" t="s">
        <v>26</v>
      </c>
      <c r="L328" s="16" t="s">
        <v>27</v>
      </c>
      <c r="M328" s="16" t="s">
        <v>28</v>
      </c>
      <c r="N328" s="16" t="s">
        <v>11</v>
      </c>
      <c r="T328" s="115"/>
    </row>
    <row r="329" spans="1:20" ht="15.6">
      <c r="A329" t="s">
        <v>1748</v>
      </c>
      <c r="B329" s="115">
        <f>P330</f>
        <v>1.7999999999999999E-2</v>
      </c>
      <c r="C329" t="s">
        <v>609</v>
      </c>
      <c r="D329" s="109" t="s">
        <v>2</v>
      </c>
      <c r="E329" t="s">
        <v>29</v>
      </c>
      <c r="F329" t="s">
        <v>14</v>
      </c>
      <c r="G329" t="s">
        <v>30</v>
      </c>
      <c r="H329">
        <v>1</v>
      </c>
      <c r="I329" s="115">
        <f t="shared" ref="I329:I331" si="37">B329</f>
        <v>1.7999999999999999E-2</v>
      </c>
      <c r="J329" t="s">
        <v>31</v>
      </c>
      <c r="K329" t="s">
        <v>31</v>
      </c>
      <c r="L329" t="s">
        <v>31</v>
      </c>
      <c r="M329" t="s">
        <v>31</v>
      </c>
    </row>
    <row r="330" spans="1:20" ht="15.6">
      <c r="A330" s="59" t="s">
        <v>1750</v>
      </c>
      <c r="B330" s="115">
        <f>P330</f>
        <v>1.7999999999999999E-2</v>
      </c>
      <c r="C330" t="s">
        <v>609</v>
      </c>
      <c r="D330" s="109" t="s">
        <v>2</v>
      </c>
      <c r="E330" t="s">
        <v>29</v>
      </c>
      <c r="F330" t="s">
        <v>14</v>
      </c>
      <c r="G330" t="s">
        <v>33</v>
      </c>
      <c r="H330">
        <v>1</v>
      </c>
      <c r="I330" s="115">
        <f t="shared" si="37"/>
        <v>1.7999999999999999E-2</v>
      </c>
      <c r="J330">
        <v>2.8722813232690055E-2</v>
      </c>
      <c r="K330" t="s">
        <v>31</v>
      </c>
      <c r="L330" t="s">
        <v>31</v>
      </c>
      <c r="M330" t="s">
        <v>31</v>
      </c>
      <c r="O330" s="92" t="s">
        <v>823</v>
      </c>
      <c r="P330" s="165">
        <v>1.7999999999999999E-2</v>
      </c>
    </row>
    <row r="331" spans="1:20" ht="15.6">
      <c r="A331" s="59" t="s">
        <v>1692</v>
      </c>
      <c r="B331">
        <f>R331</f>
        <v>0.186</v>
      </c>
      <c r="C331" t="s">
        <v>241</v>
      </c>
      <c r="D331" s="109" t="s">
        <v>2</v>
      </c>
      <c r="E331" t="s">
        <v>29</v>
      </c>
      <c r="F331" t="s">
        <v>14</v>
      </c>
      <c r="G331" t="s">
        <v>33</v>
      </c>
      <c r="H331">
        <v>1</v>
      </c>
      <c r="I331" s="115">
        <f t="shared" si="37"/>
        <v>0.186</v>
      </c>
      <c r="J331">
        <v>2.8722813232690055E-2</v>
      </c>
      <c r="K331" t="s">
        <v>31</v>
      </c>
      <c r="L331" t="s">
        <v>31</v>
      </c>
      <c r="M331" t="s">
        <v>31</v>
      </c>
      <c r="O331" s="92" t="s">
        <v>580</v>
      </c>
      <c r="P331" s="158">
        <v>186</v>
      </c>
      <c r="Q331" t="s">
        <v>241</v>
      </c>
      <c r="R331">
        <f>P331*0.001</f>
        <v>0.186</v>
      </c>
    </row>
    <row r="332" spans="1:20" ht="15.6">
      <c r="A332" s="76" t="s">
        <v>38</v>
      </c>
      <c r="B332" s="122">
        <f>P332</f>
        <v>0.02</v>
      </c>
      <c r="C332" t="s">
        <v>39</v>
      </c>
      <c r="D332" s="17" t="s">
        <v>40</v>
      </c>
      <c r="E332" t="s">
        <v>29</v>
      </c>
      <c r="F332" s="74" t="s">
        <v>35</v>
      </c>
      <c r="G332" t="s">
        <v>33</v>
      </c>
      <c r="H332">
        <v>2</v>
      </c>
      <c r="I332">
        <f t="shared" ref="I332:I334" si="38">LN(B332)</f>
        <v>-3.912023005428146</v>
      </c>
      <c r="J332">
        <v>0.20928449536456342</v>
      </c>
      <c r="K332" t="s">
        <v>31</v>
      </c>
      <c r="L332" t="s">
        <v>31</v>
      </c>
      <c r="M332" t="s">
        <v>31</v>
      </c>
      <c r="O332" s="101" t="s">
        <v>248</v>
      </c>
      <c r="P332" s="151">
        <v>0.02</v>
      </c>
    </row>
    <row r="333" spans="1:20" ht="15.6">
      <c r="A333" s="76" t="s">
        <v>38</v>
      </c>
      <c r="B333" s="122">
        <f>P333</f>
        <v>1.06</v>
      </c>
      <c r="C333" t="s">
        <v>39</v>
      </c>
      <c r="D333" s="17" t="s">
        <v>40</v>
      </c>
      <c r="E333" t="s">
        <v>29</v>
      </c>
      <c r="F333" s="74" t="s">
        <v>35</v>
      </c>
      <c r="G333" t="s">
        <v>33</v>
      </c>
      <c r="H333">
        <v>2</v>
      </c>
      <c r="I333">
        <f t="shared" si="38"/>
        <v>5.8268908123975824E-2</v>
      </c>
      <c r="J333">
        <v>0.20928449536456342</v>
      </c>
      <c r="K333" t="s">
        <v>31</v>
      </c>
      <c r="L333" t="s">
        <v>31</v>
      </c>
      <c r="M333" t="s">
        <v>31</v>
      </c>
      <c r="O333" s="101" t="s">
        <v>248</v>
      </c>
      <c r="P333" s="138">
        <v>1.06</v>
      </c>
    </row>
    <row r="334" spans="1:20" ht="15.6">
      <c r="A334" s="76" t="s">
        <v>38</v>
      </c>
      <c r="B334" s="122">
        <f>P334</f>
        <v>0.27</v>
      </c>
      <c r="C334" t="s">
        <v>39</v>
      </c>
      <c r="D334" s="17" t="s">
        <v>40</v>
      </c>
      <c r="E334" t="s">
        <v>29</v>
      </c>
      <c r="F334" s="74" t="s">
        <v>35</v>
      </c>
      <c r="G334" t="s">
        <v>33</v>
      </c>
      <c r="H334">
        <v>2</v>
      </c>
      <c r="I334">
        <f t="shared" si="38"/>
        <v>-1.3093333199837622</v>
      </c>
      <c r="J334">
        <v>9.6436507609929598E-2</v>
      </c>
      <c r="K334" t="s">
        <v>31</v>
      </c>
      <c r="L334" t="s">
        <v>31</v>
      </c>
      <c r="M334" t="s">
        <v>31</v>
      </c>
      <c r="O334" s="101" t="s">
        <v>248</v>
      </c>
      <c r="P334" s="138">
        <v>0.27</v>
      </c>
    </row>
    <row r="335" spans="1:20">
      <c r="A335" s="88" t="s">
        <v>680</v>
      </c>
      <c r="B335" s="115">
        <f>R335</f>
        <v>2E-3</v>
      </c>
      <c r="C335" t="s">
        <v>37</v>
      </c>
      <c r="D335" t="s">
        <v>40</v>
      </c>
      <c r="E335" t="s">
        <v>29</v>
      </c>
      <c r="F335" t="s">
        <v>35</v>
      </c>
      <c r="G335" t="s">
        <v>33</v>
      </c>
      <c r="H335">
        <v>2</v>
      </c>
      <c r="I335">
        <f>LN(B335)</f>
        <v>-6.2146080984221914</v>
      </c>
      <c r="J335">
        <v>0.20928449536456342</v>
      </c>
      <c r="K335" t="s">
        <v>31</v>
      </c>
      <c r="L335" t="s">
        <v>31</v>
      </c>
      <c r="M335" t="s">
        <v>31</v>
      </c>
      <c r="O335" s="101" t="s">
        <v>580</v>
      </c>
      <c r="P335" s="138">
        <v>2</v>
      </c>
      <c r="Q335" t="s">
        <v>241</v>
      </c>
      <c r="R335">
        <f>P335*0.001</f>
        <v>2E-3</v>
      </c>
    </row>
    <row r="336" spans="1:20" ht="15.6">
      <c r="A336" s="76" t="s">
        <v>799</v>
      </c>
      <c r="B336" s="115">
        <f>P336</f>
        <v>0.01</v>
      </c>
      <c r="C336" t="s">
        <v>37</v>
      </c>
      <c r="D336" s="17" t="s">
        <v>40</v>
      </c>
      <c r="E336" t="s">
        <v>29</v>
      </c>
      <c r="F336" s="74" t="s">
        <v>74</v>
      </c>
      <c r="G336" t="s">
        <v>33</v>
      </c>
      <c r="H336">
        <v>2</v>
      </c>
      <c r="I336">
        <f>LN(B336)</f>
        <v>-4.6051701859880909</v>
      </c>
      <c r="J336">
        <v>0.20928449536456342</v>
      </c>
      <c r="K336" t="s">
        <v>31</v>
      </c>
      <c r="L336" t="s">
        <v>31</v>
      </c>
      <c r="M336" t="s">
        <v>31</v>
      </c>
      <c r="O336" s="101" t="s">
        <v>241</v>
      </c>
      <c r="P336" s="151">
        <v>0.01</v>
      </c>
    </row>
    <row r="337" spans="1:20" ht="15.6">
      <c r="A337" s="88" t="s">
        <v>300</v>
      </c>
      <c r="B337" s="156">
        <f>R337</f>
        <v>2.7000000000000001E-3</v>
      </c>
      <c r="C337" t="s">
        <v>37</v>
      </c>
      <c r="D337" s="17" t="s">
        <v>40</v>
      </c>
      <c r="E337" t="s">
        <v>29</v>
      </c>
      <c r="F337" s="74" t="s">
        <v>82</v>
      </c>
      <c r="G337" t="s">
        <v>33</v>
      </c>
      <c r="H337">
        <v>2</v>
      </c>
      <c r="I337">
        <f>LN(B337)</f>
        <v>-5.9145035059718536</v>
      </c>
      <c r="J337">
        <v>0.20928449536456342</v>
      </c>
      <c r="K337" t="s">
        <v>31</v>
      </c>
      <c r="L337" t="s">
        <v>31</v>
      </c>
      <c r="M337" t="s">
        <v>31</v>
      </c>
      <c r="O337" s="101" t="s">
        <v>580</v>
      </c>
      <c r="P337" s="138">
        <v>2.7</v>
      </c>
      <c r="Q337" t="s">
        <v>241</v>
      </c>
      <c r="R337">
        <f>P337*0.001</f>
        <v>2.7000000000000001E-3</v>
      </c>
    </row>
    <row r="338" spans="1:20">
      <c r="A338" s="88" t="s">
        <v>545</v>
      </c>
      <c r="B338">
        <f>R338</f>
        <v>5.0000000000000001E-3</v>
      </c>
      <c r="C338" t="s">
        <v>37</v>
      </c>
      <c r="D338" t="s">
        <v>40</v>
      </c>
      <c r="E338" t="s">
        <v>29</v>
      </c>
      <c r="F338" t="s">
        <v>35</v>
      </c>
      <c r="G338" t="s">
        <v>33</v>
      </c>
      <c r="H338">
        <v>2</v>
      </c>
      <c r="I338">
        <f>LN(B338)</f>
        <v>-5.2983173665480363</v>
      </c>
      <c r="J338">
        <v>0.20928449536456342</v>
      </c>
      <c r="K338" t="s">
        <v>31</v>
      </c>
      <c r="L338" t="s">
        <v>31</v>
      </c>
      <c r="M338" t="s">
        <v>31</v>
      </c>
      <c r="O338" s="101" t="s">
        <v>580</v>
      </c>
      <c r="P338" s="138">
        <v>5</v>
      </c>
      <c r="Q338" t="s">
        <v>241</v>
      </c>
      <c r="R338">
        <f>P338*0.001</f>
        <v>5.0000000000000001E-3</v>
      </c>
    </row>
    <row r="339" spans="1:20" ht="15.6">
      <c r="A339" s="76" t="s">
        <v>202</v>
      </c>
      <c r="B339">
        <f>P339</f>
        <v>3.1</v>
      </c>
      <c r="C339" t="s">
        <v>37</v>
      </c>
      <c r="D339" s="17" t="s">
        <v>40</v>
      </c>
      <c r="E339" t="s">
        <v>29</v>
      </c>
      <c r="F339" s="74" t="s">
        <v>35</v>
      </c>
      <c r="G339" t="s">
        <v>33</v>
      </c>
      <c r="H339">
        <v>2</v>
      </c>
      <c r="I339">
        <f t="shared" ref="I339:I340" si="39">LN(B339)</f>
        <v>1.1314021114911006</v>
      </c>
      <c r="J339">
        <v>0.20928449536456342</v>
      </c>
      <c r="K339" t="s">
        <v>31</v>
      </c>
      <c r="L339" t="s">
        <v>31</v>
      </c>
      <c r="M339" t="s">
        <v>31</v>
      </c>
      <c r="O339" s="101" t="s">
        <v>241</v>
      </c>
      <c r="P339" s="138">
        <v>3.1</v>
      </c>
    </row>
    <row r="340" spans="1:20" ht="15.6">
      <c r="A340" s="17" t="s">
        <v>1657</v>
      </c>
      <c r="B340" s="115">
        <f>P340</f>
        <v>8.8999999999999999E-3</v>
      </c>
      <c r="C340" t="s">
        <v>37</v>
      </c>
      <c r="D340" s="109" t="s">
        <v>2</v>
      </c>
      <c r="E340" t="s">
        <v>29</v>
      </c>
      <c r="F340" s="74" t="s">
        <v>74</v>
      </c>
      <c r="G340" t="s">
        <v>33</v>
      </c>
      <c r="H340">
        <v>2</v>
      </c>
      <c r="I340">
        <f t="shared" si="39"/>
        <v>-4.7217040022440431</v>
      </c>
      <c r="J340">
        <v>0.20928449536456342</v>
      </c>
      <c r="K340" t="s">
        <v>31</v>
      </c>
      <c r="L340" t="s">
        <v>31</v>
      </c>
      <c r="M340" t="s">
        <v>31</v>
      </c>
      <c r="O340" s="118" t="s">
        <v>241</v>
      </c>
      <c r="P340" s="174">
        <v>8.8999999999999999E-3</v>
      </c>
    </row>
    <row r="341" spans="1:20" s="70" customFormat="1" ht="15.6">
      <c r="A341" s="67" t="s">
        <v>5</v>
      </c>
      <c r="B341" s="123" t="s">
        <v>1750</v>
      </c>
      <c r="P341" s="160"/>
    </row>
    <row r="342" spans="1:20">
      <c r="A342" s="71" t="s">
        <v>7</v>
      </c>
      <c r="B342" t="s">
        <v>1654</v>
      </c>
      <c r="C342" s="72"/>
    </row>
    <row r="343" spans="1:20">
      <c r="A343" s="126" t="s">
        <v>9</v>
      </c>
      <c r="B343" t="s">
        <v>1751</v>
      </c>
      <c r="C343" s="72"/>
    </row>
    <row r="344" spans="1:20" ht="15.75" customHeight="1">
      <c r="A344" s="71" t="s">
        <v>11</v>
      </c>
      <c r="B344" s="73" t="s">
        <v>796</v>
      </c>
    </row>
    <row r="345" spans="1:20">
      <c r="A345" s="71" t="s">
        <v>13</v>
      </c>
      <c r="B345" t="s">
        <v>14</v>
      </c>
    </row>
    <row r="346" spans="1:20">
      <c r="A346" s="71" t="s">
        <v>15</v>
      </c>
      <c r="B346" s="115">
        <f>B351</f>
        <v>1.7999999999999999E-2</v>
      </c>
    </row>
    <row r="347" spans="1:20">
      <c r="A347" s="71" t="s">
        <v>16</v>
      </c>
      <c r="B347" t="s">
        <v>17</v>
      </c>
    </row>
    <row r="348" spans="1:20">
      <c r="A348" s="71" t="s">
        <v>18</v>
      </c>
      <c r="B348" t="s">
        <v>609</v>
      </c>
    </row>
    <row r="349" spans="1:20" ht="15.6">
      <c r="A349" s="75" t="s">
        <v>19</v>
      </c>
    </row>
    <row r="350" spans="1:20" ht="15.6">
      <c r="A350" s="16" t="s">
        <v>20</v>
      </c>
      <c r="B350" s="16" t="s">
        <v>21</v>
      </c>
      <c r="C350" s="16" t="s">
        <v>18</v>
      </c>
      <c r="D350" s="16" t="s">
        <v>22</v>
      </c>
      <c r="E350" s="16" t="s">
        <v>7</v>
      </c>
      <c r="F350" s="16" t="s">
        <v>13</v>
      </c>
      <c r="G350" s="16" t="s">
        <v>16</v>
      </c>
      <c r="H350" s="16" t="s">
        <v>23</v>
      </c>
      <c r="I350" s="16" t="s">
        <v>24</v>
      </c>
      <c r="J350" s="16" t="s">
        <v>25</v>
      </c>
      <c r="K350" s="16" t="s">
        <v>26</v>
      </c>
      <c r="L350" s="16" t="s">
        <v>27</v>
      </c>
      <c r="M350" s="16" t="s">
        <v>28</v>
      </c>
      <c r="N350" s="16" t="s">
        <v>11</v>
      </c>
      <c r="T350" s="115"/>
    </row>
    <row r="351" spans="1:20" ht="15.6">
      <c r="A351" s="59" t="s">
        <v>1750</v>
      </c>
      <c r="B351" s="115">
        <f>P351</f>
        <v>1.7999999999999999E-2</v>
      </c>
      <c r="C351" t="s">
        <v>609</v>
      </c>
      <c r="D351" s="109" t="s">
        <v>2</v>
      </c>
      <c r="E351" t="s">
        <v>29</v>
      </c>
      <c r="F351" t="s">
        <v>14</v>
      </c>
      <c r="G351" t="s">
        <v>30</v>
      </c>
      <c r="H351">
        <v>1</v>
      </c>
      <c r="I351" s="115">
        <f>B351</f>
        <v>1.7999999999999999E-2</v>
      </c>
      <c r="J351" t="s">
        <v>31</v>
      </c>
      <c r="K351" t="s">
        <v>31</v>
      </c>
      <c r="L351" t="s">
        <v>31</v>
      </c>
      <c r="M351" t="s">
        <v>31</v>
      </c>
      <c r="O351" s="92" t="s">
        <v>823</v>
      </c>
      <c r="P351" s="160">
        <v>1.7999999999999999E-2</v>
      </c>
    </row>
    <row r="352" spans="1:20">
      <c r="A352" s="88" t="s">
        <v>848</v>
      </c>
      <c r="B352">
        <f>P352</f>
        <v>0.03</v>
      </c>
      <c r="C352" t="s">
        <v>37</v>
      </c>
      <c r="D352" t="s">
        <v>40</v>
      </c>
      <c r="E352" t="s">
        <v>29</v>
      </c>
      <c r="F352" t="s">
        <v>82</v>
      </c>
      <c r="G352" t="s">
        <v>33</v>
      </c>
      <c r="H352">
        <v>2</v>
      </c>
      <c r="I352">
        <f t="shared" ref="I352:I362" si="40">LN(B352)</f>
        <v>-3.5065578973199818</v>
      </c>
      <c r="J352" s="113">
        <v>0.22516660498395411</v>
      </c>
      <c r="K352" t="s">
        <v>31</v>
      </c>
      <c r="L352" t="s">
        <v>31</v>
      </c>
      <c r="M352" t="s">
        <v>31</v>
      </c>
      <c r="O352" s="101" t="s">
        <v>241</v>
      </c>
      <c r="P352" s="114">
        <v>0.03</v>
      </c>
    </row>
    <row r="353" spans="1:18" ht="15.6">
      <c r="A353" s="76" t="s">
        <v>38</v>
      </c>
      <c r="B353" s="122">
        <f>P353</f>
        <v>0.38</v>
      </c>
      <c r="C353" t="s">
        <v>39</v>
      </c>
      <c r="D353" s="17" t="s">
        <v>40</v>
      </c>
      <c r="E353" t="s">
        <v>29</v>
      </c>
      <c r="F353" s="74" t="s">
        <v>35</v>
      </c>
      <c r="G353" t="s">
        <v>33</v>
      </c>
      <c r="H353">
        <v>2</v>
      </c>
      <c r="I353">
        <f t="shared" si="40"/>
        <v>-0.96758402626170559</v>
      </c>
      <c r="J353" s="113">
        <v>0.22516660498395411</v>
      </c>
      <c r="K353" t="s">
        <v>31</v>
      </c>
      <c r="L353" t="s">
        <v>31</v>
      </c>
      <c r="M353" t="s">
        <v>31</v>
      </c>
      <c r="O353" s="101" t="s">
        <v>248</v>
      </c>
      <c r="P353" s="114">
        <v>0.38</v>
      </c>
    </row>
    <row r="354" spans="1:18" ht="15.6">
      <c r="A354" s="88" t="s">
        <v>962</v>
      </c>
      <c r="B354" s="115">
        <f>R354</f>
        <v>6.3000000000000003E-4</v>
      </c>
      <c r="C354" t="s">
        <v>37</v>
      </c>
      <c r="D354" s="17" t="s">
        <v>40</v>
      </c>
      <c r="E354" t="s">
        <v>29</v>
      </c>
      <c r="F354" t="s">
        <v>35</v>
      </c>
      <c r="G354" t="s">
        <v>33</v>
      </c>
      <c r="H354">
        <v>2</v>
      </c>
      <c r="I354">
        <f t="shared" si="40"/>
        <v>-7.369790738578696</v>
      </c>
      <c r="J354" s="113">
        <v>0.22516660498395411</v>
      </c>
      <c r="K354" t="s">
        <v>31</v>
      </c>
      <c r="L354" t="s">
        <v>31</v>
      </c>
      <c r="M354" t="s">
        <v>31</v>
      </c>
      <c r="O354" s="101" t="s">
        <v>580</v>
      </c>
      <c r="P354" s="172">
        <v>0.63</v>
      </c>
      <c r="Q354" t="s">
        <v>241</v>
      </c>
      <c r="R354" s="115">
        <f>0.001*P354</f>
        <v>6.3000000000000003E-4</v>
      </c>
    </row>
    <row r="355" spans="1:18" ht="15.6">
      <c r="A355" s="88" t="s">
        <v>963</v>
      </c>
      <c r="B355" s="115">
        <f>P355</f>
        <v>3.0000000000000001E-3</v>
      </c>
      <c r="C355" t="s">
        <v>37</v>
      </c>
      <c r="D355" s="17" t="s">
        <v>40</v>
      </c>
      <c r="E355" t="s">
        <v>29</v>
      </c>
      <c r="F355" t="s">
        <v>35</v>
      </c>
      <c r="G355" t="s">
        <v>33</v>
      </c>
      <c r="H355">
        <v>2</v>
      </c>
      <c r="I355">
        <f t="shared" si="40"/>
        <v>-5.8091429903140277</v>
      </c>
      <c r="J355" s="113">
        <v>0.22516660498395411</v>
      </c>
      <c r="K355" t="s">
        <v>31</v>
      </c>
      <c r="L355" t="s">
        <v>31</v>
      </c>
      <c r="M355" t="s">
        <v>31</v>
      </c>
      <c r="O355" s="101" t="s">
        <v>241</v>
      </c>
      <c r="P355" s="172">
        <v>3.0000000000000001E-3</v>
      </c>
    </row>
    <row r="356" spans="1:18" ht="15.6">
      <c r="A356" s="88" t="s">
        <v>964</v>
      </c>
      <c r="B356" s="115">
        <f>P356</f>
        <v>2.5000000000000001E-3</v>
      </c>
      <c r="C356" t="s">
        <v>37</v>
      </c>
      <c r="D356" s="17" t="s">
        <v>40</v>
      </c>
      <c r="E356" t="s">
        <v>29</v>
      </c>
      <c r="F356" t="s">
        <v>35</v>
      </c>
      <c r="G356" t="s">
        <v>33</v>
      </c>
      <c r="H356">
        <v>2</v>
      </c>
      <c r="I356">
        <f t="shared" si="40"/>
        <v>-5.9914645471079817</v>
      </c>
      <c r="J356" s="113">
        <v>0.22516660498395411</v>
      </c>
      <c r="K356" t="s">
        <v>31</v>
      </c>
      <c r="L356" t="s">
        <v>31</v>
      </c>
      <c r="M356" t="s">
        <v>31</v>
      </c>
      <c r="O356" s="101" t="s">
        <v>241</v>
      </c>
      <c r="P356" s="172">
        <v>2.5000000000000001E-3</v>
      </c>
    </row>
    <row r="357" spans="1:18" ht="15.6">
      <c r="A357" s="88" t="s">
        <v>191</v>
      </c>
      <c r="B357" s="115">
        <f>P357</f>
        <v>2.1999999999999999E-2</v>
      </c>
      <c r="C357" t="s">
        <v>37</v>
      </c>
      <c r="D357" s="17" t="s">
        <v>40</v>
      </c>
      <c r="E357" t="s">
        <v>29</v>
      </c>
      <c r="F357" t="s">
        <v>35</v>
      </c>
      <c r="G357" t="s">
        <v>33</v>
      </c>
      <c r="H357">
        <v>2</v>
      </c>
      <c r="I357">
        <f t="shared" si="40"/>
        <v>-3.8167128256238212</v>
      </c>
      <c r="J357" s="113">
        <v>0.22516660498395411</v>
      </c>
      <c r="K357" t="s">
        <v>31</v>
      </c>
      <c r="L357" t="s">
        <v>31</v>
      </c>
      <c r="M357" t="s">
        <v>31</v>
      </c>
      <c r="O357" s="101" t="s">
        <v>241</v>
      </c>
      <c r="P357" s="114">
        <v>2.1999999999999999E-2</v>
      </c>
    </row>
    <row r="358" spans="1:18" ht="15.6">
      <c r="A358" s="88" t="s">
        <v>965</v>
      </c>
      <c r="B358" s="115">
        <f>R358</f>
        <v>1.3000000000000002E-4</v>
      </c>
      <c r="C358" t="s">
        <v>37</v>
      </c>
      <c r="D358" s="17" t="s">
        <v>43</v>
      </c>
      <c r="E358" t="s">
        <v>44</v>
      </c>
      <c r="F358" t="s">
        <v>29</v>
      </c>
      <c r="G358" t="s">
        <v>45</v>
      </c>
      <c r="H358">
        <v>2</v>
      </c>
      <c r="I358">
        <f t="shared" si="40"/>
        <v>-8.9479761075086923</v>
      </c>
      <c r="J358" s="113">
        <v>0.10344080432788608</v>
      </c>
      <c r="K358" t="s">
        <v>31</v>
      </c>
      <c r="L358" t="s">
        <v>31</v>
      </c>
      <c r="M358" t="s">
        <v>31</v>
      </c>
      <c r="O358" s="116" t="s">
        <v>580</v>
      </c>
      <c r="P358" s="117">
        <v>0.13</v>
      </c>
      <c r="Q358" t="s">
        <v>241</v>
      </c>
      <c r="R358" s="115">
        <f>0.001*P358</f>
        <v>1.3000000000000002E-4</v>
      </c>
    </row>
    <row r="359" spans="1:18" ht="15.6">
      <c r="A359" s="88" t="s">
        <v>77</v>
      </c>
      <c r="B359" s="115">
        <f t="shared" ref="B359:B361" si="41">R359</f>
        <v>1E-3</v>
      </c>
      <c r="C359" t="s">
        <v>37</v>
      </c>
      <c r="D359" s="17" t="s">
        <v>43</v>
      </c>
      <c r="E359" t="s">
        <v>44</v>
      </c>
      <c r="F359" t="s">
        <v>29</v>
      </c>
      <c r="G359" t="s">
        <v>45</v>
      </c>
      <c r="H359">
        <v>2</v>
      </c>
      <c r="I359">
        <f t="shared" si="40"/>
        <v>-6.9077552789821368</v>
      </c>
      <c r="J359" s="113">
        <v>0.10344080432788608</v>
      </c>
      <c r="K359" t="s">
        <v>31</v>
      </c>
      <c r="L359" t="s">
        <v>31</v>
      </c>
      <c r="M359" t="s">
        <v>31</v>
      </c>
      <c r="O359" s="116" t="s">
        <v>580</v>
      </c>
      <c r="P359" s="117">
        <v>1</v>
      </c>
      <c r="Q359" t="s">
        <v>241</v>
      </c>
      <c r="R359" s="115">
        <f>0.001*P359</f>
        <v>1E-3</v>
      </c>
    </row>
    <row r="360" spans="1:18" ht="15.6">
      <c r="A360" s="88" t="s">
        <v>966</v>
      </c>
      <c r="B360" s="115">
        <f t="shared" si="41"/>
        <v>8.8000000000000003E-4</v>
      </c>
      <c r="C360" t="s">
        <v>37</v>
      </c>
      <c r="D360" s="17" t="s">
        <v>43</v>
      </c>
      <c r="E360" t="s">
        <v>44</v>
      </c>
      <c r="F360" t="s">
        <v>29</v>
      </c>
      <c r="G360" t="s">
        <v>45</v>
      </c>
      <c r="H360">
        <v>2</v>
      </c>
      <c r="I360">
        <f t="shared" si="40"/>
        <v>-7.0355886504920218</v>
      </c>
      <c r="J360" s="113">
        <v>0.10344080432788608</v>
      </c>
      <c r="K360" t="s">
        <v>31</v>
      </c>
      <c r="L360" t="s">
        <v>31</v>
      </c>
      <c r="M360" t="s">
        <v>31</v>
      </c>
      <c r="O360" s="116" t="s">
        <v>580</v>
      </c>
      <c r="P360" s="117">
        <v>0.88</v>
      </c>
      <c r="Q360" t="s">
        <v>241</v>
      </c>
      <c r="R360" s="115">
        <f>0.001*P360</f>
        <v>8.8000000000000003E-4</v>
      </c>
    </row>
    <row r="361" spans="1:18">
      <c r="A361" s="88" t="s">
        <v>758</v>
      </c>
      <c r="B361" s="115">
        <f t="shared" si="41"/>
        <v>5.0000000000000001E-4</v>
      </c>
      <c r="C361" t="s">
        <v>37</v>
      </c>
      <c r="D361" t="s">
        <v>43</v>
      </c>
      <c r="E361" t="s">
        <v>44</v>
      </c>
      <c r="F361" t="s">
        <v>29</v>
      </c>
      <c r="G361" t="s">
        <v>45</v>
      </c>
      <c r="H361">
        <v>2</v>
      </c>
      <c r="I361">
        <f t="shared" si="40"/>
        <v>-7.6009024595420822</v>
      </c>
      <c r="J361" s="113">
        <v>0.10344080432788608</v>
      </c>
      <c r="K361" t="s">
        <v>31</v>
      </c>
      <c r="L361" t="s">
        <v>31</v>
      </c>
      <c r="M361" t="s">
        <v>31</v>
      </c>
      <c r="O361" s="116" t="s">
        <v>580</v>
      </c>
      <c r="P361" s="117">
        <v>0.5</v>
      </c>
      <c r="Q361" t="s">
        <v>241</v>
      </c>
      <c r="R361" s="115">
        <f>0.001*P361</f>
        <v>5.0000000000000001E-4</v>
      </c>
    </row>
    <row r="362" spans="1:18" ht="15.6">
      <c r="A362" s="17" t="s">
        <v>1659</v>
      </c>
      <c r="B362" s="115">
        <f>P362</f>
        <v>6.7999999999999996E-3</v>
      </c>
      <c r="C362" t="s">
        <v>37</v>
      </c>
      <c r="D362" s="109" t="s">
        <v>2</v>
      </c>
      <c r="E362" t="s">
        <v>29</v>
      </c>
      <c r="F362" s="74" t="s">
        <v>74</v>
      </c>
      <c r="G362" t="s">
        <v>33</v>
      </c>
      <c r="H362">
        <v>2</v>
      </c>
      <c r="I362">
        <f t="shared" si="40"/>
        <v>-4.9908326668000758</v>
      </c>
      <c r="J362">
        <v>0.11269427669584645</v>
      </c>
      <c r="K362" t="s">
        <v>31</v>
      </c>
      <c r="L362" t="s">
        <v>31</v>
      </c>
      <c r="M362" t="s">
        <v>31</v>
      </c>
      <c r="O362" s="118" t="s">
        <v>241</v>
      </c>
      <c r="P362" s="173">
        <v>6.7999999999999996E-3</v>
      </c>
    </row>
    <row r="363" spans="1:18">
      <c r="P363" s="160"/>
    </row>
  </sheetData>
  <pageMargins left="0.7" right="0.7" top="0.75" bottom="0.75" header="0.3" footer="0.3"/>
  <pageSetup paperSize="9" orientation="portrai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2C705-3A19-4831-A38A-C105C6B61E7F}">
  <sheetPr>
    <tabColor theme="8" tint="0.79998168889431442"/>
  </sheetPr>
  <dimension ref="A1:AC41"/>
  <sheetViews>
    <sheetView zoomScale="85" zoomScaleNormal="85" workbookViewId="0">
      <selection activeCell="I13" sqref="I13:I30"/>
    </sheetView>
  </sheetViews>
  <sheetFormatPr defaultRowHeight="14.4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1" max="21" width="26.140625" customWidth="1"/>
    <col min="24" max="24" width="0" hidden="1" customWidth="1"/>
  </cols>
  <sheetData>
    <row r="1" spans="1:26" ht="15.6">
      <c r="A1" t="s">
        <v>0</v>
      </c>
      <c r="B1">
        <v>13</v>
      </c>
      <c r="N1" s="17" t="str">
        <f ca="1">UPPER(CONCATENATE(DEC2HEX(RANDBETWEEN(0,POWER(16,8)),8),DEC2HEX(RANDBETWEEN(0,POWER(16,4)),4),"4",DEC2HEX(RANDBETWEEN(0,POWER(16,3)),3),DEC2HEX(RANDBETWEEN(8,11)),DEC2HEX(RANDBETWEEN(0,POWER(16,3)),3),DEC2HEX(RANDBETWEEN(0,POWER(16,8)),8),DEC2HEX(RANDBETWEEN(0,POWER(16,4)),4)))</f>
        <v>16536965839B4F6ABFE0EE806BF67501</v>
      </c>
    </row>
    <row r="2" spans="1:26" ht="15.6">
      <c r="A2" s="67" t="s">
        <v>5</v>
      </c>
      <c r="B2" s="68" t="s">
        <v>1752</v>
      </c>
      <c r="C2" s="69"/>
      <c r="D2" s="70"/>
      <c r="E2" s="70"/>
      <c r="F2" s="70"/>
      <c r="G2" s="70"/>
      <c r="H2" s="70"/>
      <c r="I2" s="70"/>
      <c r="J2" s="70"/>
      <c r="K2" s="70"/>
      <c r="L2" s="70"/>
      <c r="M2" s="70"/>
    </row>
    <row r="3" spans="1:26">
      <c r="A3" s="71" t="s">
        <v>7</v>
      </c>
      <c r="B3" t="s">
        <v>1654</v>
      </c>
      <c r="C3" s="72"/>
    </row>
    <row r="4" spans="1:26">
      <c r="A4" s="71" t="s">
        <v>9</v>
      </c>
      <c r="B4" t="s">
        <v>1753</v>
      </c>
      <c r="C4" s="72"/>
    </row>
    <row r="5" spans="1:26" ht="29.1">
      <c r="A5" s="71" t="s">
        <v>11</v>
      </c>
      <c r="B5" s="73" t="s">
        <v>1674</v>
      </c>
    </row>
    <row r="6" spans="1:26">
      <c r="A6" s="71" t="s">
        <v>13</v>
      </c>
      <c r="B6" t="s">
        <v>14</v>
      </c>
    </row>
    <row r="7" spans="1:26">
      <c r="A7" s="71" t="s">
        <v>15</v>
      </c>
      <c r="B7">
        <v>1</v>
      </c>
    </row>
    <row r="8" spans="1:26">
      <c r="A8" s="71" t="s">
        <v>16</v>
      </c>
      <c r="B8" t="s">
        <v>17</v>
      </c>
    </row>
    <row r="9" spans="1:26">
      <c r="A9" s="71" t="s">
        <v>18</v>
      </c>
      <c r="B9" t="s">
        <v>18</v>
      </c>
    </row>
    <row r="10" spans="1:26" ht="15.6">
      <c r="A10" s="75" t="s">
        <v>19</v>
      </c>
    </row>
    <row r="11" spans="1:26" ht="15.6">
      <c r="A11" s="7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6" ht="15.6">
      <c r="A12" s="68" t="s">
        <v>1752</v>
      </c>
      <c r="B12">
        <v>1</v>
      </c>
      <c r="C12" t="s">
        <v>18</v>
      </c>
      <c r="D12" s="17" t="s">
        <v>1754</v>
      </c>
      <c r="E12" t="s">
        <v>29</v>
      </c>
      <c r="F12" s="74" t="s">
        <v>14</v>
      </c>
      <c r="G12" t="s">
        <v>30</v>
      </c>
      <c r="H12">
        <v>1</v>
      </c>
      <c r="I12">
        <v>1</v>
      </c>
      <c r="J12" t="s">
        <v>31</v>
      </c>
      <c r="K12" t="s">
        <v>31</v>
      </c>
      <c r="L12" t="s">
        <v>31</v>
      </c>
      <c r="M12" t="s">
        <v>31</v>
      </c>
    </row>
    <row r="13" spans="1:26" ht="15.6">
      <c r="A13" s="91" t="s">
        <v>1661</v>
      </c>
      <c r="B13">
        <f>Z13</f>
        <v>7.8E-2</v>
      </c>
      <c r="C13" t="s">
        <v>37</v>
      </c>
      <c r="D13" s="17" t="s">
        <v>1754</v>
      </c>
      <c r="E13" t="s">
        <v>29</v>
      </c>
      <c r="F13" s="74" t="s">
        <v>14</v>
      </c>
      <c r="G13" t="s">
        <v>33</v>
      </c>
      <c r="H13">
        <v>1</v>
      </c>
      <c r="I13">
        <f>B13</f>
        <v>7.8E-2</v>
      </c>
      <c r="J13" t="s">
        <v>31</v>
      </c>
      <c r="K13" t="s">
        <v>31</v>
      </c>
      <c r="L13" t="s">
        <v>31</v>
      </c>
      <c r="M13" t="s">
        <v>31</v>
      </c>
      <c r="U13" s="92" t="s">
        <v>968</v>
      </c>
      <c r="V13" s="92" t="s">
        <v>580</v>
      </c>
      <c r="W13" s="93">
        <v>78</v>
      </c>
      <c r="Y13" t="s">
        <v>241</v>
      </c>
      <c r="Z13">
        <f>0.001*W13</f>
        <v>7.8E-2</v>
      </c>
    </row>
    <row r="14" spans="1:26" ht="15.6">
      <c r="A14" s="91" t="s">
        <v>1666</v>
      </c>
      <c r="B14">
        <f t="shared" ref="B14:B20" si="0">Z14</f>
        <v>9.8000000000000004E-2</v>
      </c>
      <c r="C14" t="s">
        <v>37</v>
      </c>
      <c r="D14" s="17" t="s">
        <v>1754</v>
      </c>
      <c r="E14" t="s">
        <v>29</v>
      </c>
      <c r="F14" s="74" t="s">
        <v>14</v>
      </c>
      <c r="G14" t="s">
        <v>33</v>
      </c>
      <c r="H14">
        <v>1</v>
      </c>
      <c r="I14">
        <f t="shared" ref="I14:I30" si="1">B14</f>
        <v>9.8000000000000004E-2</v>
      </c>
      <c r="J14" t="s">
        <v>31</v>
      </c>
      <c r="K14" t="s">
        <v>31</v>
      </c>
      <c r="L14" t="s">
        <v>31</v>
      </c>
      <c r="M14" t="s">
        <v>31</v>
      </c>
      <c r="U14" s="92" t="s">
        <v>969</v>
      </c>
      <c r="V14" s="92" t="s">
        <v>580</v>
      </c>
      <c r="W14" s="93">
        <v>98</v>
      </c>
      <c r="Y14" t="s">
        <v>241</v>
      </c>
      <c r="Z14">
        <f>0.001*W14</f>
        <v>9.8000000000000004E-2</v>
      </c>
    </row>
    <row r="15" spans="1:26" ht="15.6">
      <c r="A15" s="94" t="s">
        <v>835</v>
      </c>
      <c r="B15">
        <f t="shared" si="0"/>
        <v>1.55</v>
      </c>
      <c r="C15" t="s">
        <v>37</v>
      </c>
      <c r="D15" s="17" t="s">
        <v>221</v>
      </c>
      <c r="E15" t="s">
        <v>29</v>
      </c>
      <c r="F15" s="74" t="s">
        <v>59</v>
      </c>
      <c r="G15" t="s">
        <v>33</v>
      </c>
      <c r="H15">
        <v>1</v>
      </c>
      <c r="I15">
        <f t="shared" si="1"/>
        <v>1.55</v>
      </c>
      <c r="J15" t="s">
        <v>31</v>
      </c>
      <c r="K15" t="s">
        <v>31</v>
      </c>
      <c r="L15" t="s">
        <v>31</v>
      </c>
      <c r="M15" t="s">
        <v>31</v>
      </c>
      <c r="U15" s="92" t="s">
        <v>970</v>
      </c>
      <c r="V15" s="92" t="s">
        <v>241</v>
      </c>
      <c r="W15" s="93">
        <v>1.55</v>
      </c>
      <c r="Y15" t="s">
        <v>241</v>
      </c>
      <c r="Z15">
        <f>W15</f>
        <v>1.55</v>
      </c>
    </row>
    <row r="16" spans="1:26" ht="15.6">
      <c r="A16" s="91" t="s">
        <v>1755</v>
      </c>
      <c r="B16">
        <f t="shared" si="0"/>
        <v>2.4</v>
      </c>
      <c r="C16" t="s">
        <v>37</v>
      </c>
      <c r="D16" s="17" t="s">
        <v>1754</v>
      </c>
      <c r="E16" t="s">
        <v>29</v>
      </c>
      <c r="F16" s="74" t="s">
        <v>14</v>
      </c>
      <c r="G16" t="s">
        <v>33</v>
      </c>
      <c r="H16">
        <v>1</v>
      </c>
      <c r="I16">
        <f t="shared" si="1"/>
        <v>2.4</v>
      </c>
      <c r="J16" t="s">
        <v>31</v>
      </c>
      <c r="K16" t="s">
        <v>31</v>
      </c>
      <c r="L16" t="s">
        <v>31</v>
      </c>
      <c r="M16" t="s">
        <v>31</v>
      </c>
      <c r="U16" s="92" t="s">
        <v>972</v>
      </c>
      <c r="V16" s="92" t="s">
        <v>241</v>
      </c>
      <c r="W16" s="93">
        <v>2.4</v>
      </c>
      <c r="Y16" t="s">
        <v>241</v>
      </c>
      <c r="Z16">
        <f>W16</f>
        <v>2.4</v>
      </c>
    </row>
    <row r="17" spans="1:29" ht="15.6">
      <c r="A17" s="95" t="s">
        <v>1756</v>
      </c>
      <c r="B17">
        <f t="shared" si="0"/>
        <v>4.2241379310344836E-2</v>
      </c>
      <c r="C17" t="s">
        <v>609</v>
      </c>
      <c r="D17" s="17" t="s">
        <v>1754</v>
      </c>
      <c r="E17" t="s">
        <v>29</v>
      </c>
      <c r="F17" s="74" t="s">
        <v>14</v>
      </c>
      <c r="G17" t="s">
        <v>33</v>
      </c>
      <c r="H17">
        <v>1</v>
      </c>
      <c r="I17">
        <f t="shared" si="1"/>
        <v>4.2241379310344836E-2</v>
      </c>
      <c r="J17" t="s">
        <v>31</v>
      </c>
      <c r="K17" t="s">
        <v>31</v>
      </c>
      <c r="L17" t="s">
        <v>31</v>
      </c>
      <c r="M17" t="s">
        <v>31</v>
      </c>
      <c r="O17" t="s">
        <v>974</v>
      </c>
      <c r="U17" s="96" t="s">
        <v>975</v>
      </c>
      <c r="V17" s="96" t="s">
        <v>580</v>
      </c>
      <c r="W17" s="93">
        <v>245</v>
      </c>
      <c r="Y17" t="s">
        <v>610</v>
      </c>
      <c r="Z17">
        <f>W17*0.001/AB17</f>
        <v>4.2241379310344836E-2</v>
      </c>
      <c r="AB17">
        <f>B.Reused!O36</f>
        <v>5.7999999999999989</v>
      </c>
      <c r="AC17" t="s">
        <v>891</v>
      </c>
    </row>
    <row r="18" spans="1:29" ht="15.6">
      <c r="A18" s="91" t="s">
        <v>1757</v>
      </c>
      <c r="B18">
        <f t="shared" si="0"/>
        <v>0.40500000000000003</v>
      </c>
      <c r="C18" t="s">
        <v>37</v>
      </c>
      <c r="D18" s="17" t="s">
        <v>1754</v>
      </c>
      <c r="E18" t="s">
        <v>29</v>
      </c>
      <c r="F18" s="74" t="s">
        <v>14</v>
      </c>
      <c r="G18" t="s">
        <v>33</v>
      </c>
      <c r="H18">
        <v>1</v>
      </c>
      <c r="I18">
        <f t="shared" si="1"/>
        <v>0.40500000000000003</v>
      </c>
      <c r="J18" t="s">
        <v>31</v>
      </c>
      <c r="K18" t="s">
        <v>31</v>
      </c>
      <c r="L18" t="s">
        <v>31</v>
      </c>
      <c r="M18" t="s">
        <v>31</v>
      </c>
      <c r="U18" s="96" t="s">
        <v>977</v>
      </c>
      <c r="V18" s="92" t="s">
        <v>580</v>
      </c>
      <c r="W18" s="93">
        <v>405</v>
      </c>
      <c r="Y18" t="s">
        <v>241</v>
      </c>
      <c r="Z18">
        <f>0.001*W18</f>
        <v>0.40500000000000003</v>
      </c>
    </row>
    <row r="19" spans="1:29" ht="15.6">
      <c r="A19" s="97" t="s">
        <v>840</v>
      </c>
      <c r="B19">
        <f t="shared" si="0"/>
        <v>2E-3</v>
      </c>
      <c r="C19" t="s">
        <v>37</v>
      </c>
      <c r="D19" s="17" t="s">
        <v>221</v>
      </c>
      <c r="E19" t="s">
        <v>29</v>
      </c>
      <c r="F19" s="74" t="s">
        <v>35</v>
      </c>
      <c r="G19" t="s">
        <v>33</v>
      </c>
      <c r="H19">
        <v>1</v>
      </c>
      <c r="I19">
        <f t="shared" si="1"/>
        <v>2E-3</v>
      </c>
      <c r="J19" t="s">
        <v>31</v>
      </c>
      <c r="K19" t="s">
        <v>31</v>
      </c>
      <c r="L19" t="s">
        <v>31</v>
      </c>
      <c r="M19" t="s">
        <v>31</v>
      </c>
      <c r="N19" s="76" t="s">
        <v>841</v>
      </c>
      <c r="U19" s="92" t="s">
        <v>841</v>
      </c>
      <c r="V19" s="92" t="s">
        <v>580</v>
      </c>
      <c r="W19" s="93">
        <v>2</v>
      </c>
      <c r="Y19" t="s">
        <v>241</v>
      </c>
      <c r="Z19">
        <f>0.001*W19</f>
        <v>2E-3</v>
      </c>
    </row>
    <row r="20" spans="1:29" ht="15.6">
      <c r="A20" s="98" t="s">
        <v>179</v>
      </c>
      <c r="B20">
        <f t="shared" si="0"/>
        <v>1.3000000000000001E-2</v>
      </c>
      <c r="C20" t="s">
        <v>37</v>
      </c>
      <c r="D20" s="17" t="s">
        <v>221</v>
      </c>
      <c r="E20" t="s">
        <v>29</v>
      </c>
      <c r="F20" s="74" t="s">
        <v>35</v>
      </c>
      <c r="G20" t="s">
        <v>33</v>
      </c>
      <c r="H20">
        <v>1</v>
      </c>
      <c r="I20">
        <f t="shared" si="1"/>
        <v>1.3000000000000001E-2</v>
      </c>
      <c r="J20" t="s">
        <v>31</v>
      </c>
      <c r="K20" t="s">
        <v>31</v>
      </c>
      <c r="L20" t="s">
        <v>31</v>
      </c>
      <c r="M20" t="s">
        <v>31</v>
      </c>
      <c r="N20" s="76" t="s">
        <v>842</v>
      </c>
      <c r="U20" s="96" t="s">
        <v>842</v>
      </c>
      <c r="V20" s="92" t="s">
        <v>580</v>
      </c>
      <c r="W20" s="93">
        <v>13</v>
      </c>
      <c r="Y20" t="s">
        <v>241</v>
      </c>
      <c r="Z20">
        <f t="shared" ref="Z20:Z22" si="2">0.001*W20</f>
        <v>1.3000000000000001E-2</v>
      </c>
    </row>
    <row r="21" spans="1:29" ht="15.6">
      <c r="A21" s="97" t="s">
        <v>840</v>
      </c>
      <c r="B21">
        <f>Z21</f>
        <v>2E-3</v>
      </c>
      <c r="C21" t="s">
        <v>37</v>
      </c>
      <c r="D21" s="17" t="s">
        <v>221</v>
      </c>
      <c r="E21" t="s">
        <v>29</v>
      </c>
      <c r="F21" s="74" t="s">
        <v>35</v>
      </c>
      <c r="G21" t="s">
        <v>33</v>
      </c>
      <c r="H21">
        <v>1</v>
      </c>
      <c r="I21">
        <f t="shared" si="1"/>
        <v>2E-3</v>
      </c>
      <c r="J21" t="s">
        <v>31</v>
      </c>
      <c r="K21" t="s">
        <v>31</v>
      </c>
      <c r="L21" t="s">
        <v>31</v>
      </c>
      <c r="M21" t="s">
        <v>31</v>
      </c>
      <c r="N21" s="76" t="s">
        <v>843</v>
      </c>
      <c r="U21" s="96" t="s">
        <v>843</v>
      </c>
      <c r="V21" s="92" t="s">
        <v>580</v>
      </c>
      <c r="W21" s="93">
        <v>2</v>
      </c>
      <c r="Y21" t="s">
        <v>241</v>
      </c>
      <c r="Z21">
        <f t="shared" si="2"/>
        <v>2E-3</v>
      </c>
    </row>
    <row r="22" spans="1:29" ht="15.6">
      <c r="A22" s="98" t="s">
        <v>978</v>
      </c>
      <c r="B22">
        <f>Z22</f>
        <v>2E-3</v>
      </c>
      <c r="C22" t="s">
        <v>37</v>
      </c>
      <c r="D22" s="17" t="s">
        <v>221</v>
      </c>
      <c r="E22" t="s">
        <v>29</v>
      </c>
      <c r="F22" s="74" t="s">
        <v>35</v>
      </c>
      <c r="G22" t="s">
        <v>33</v>
      </c>
      <c r="H22">
        <v>1</v>
      </c>
      <c r="I22">
        <f t="shared" si="1"/>
        <v>2E-3</v>
      </c>
      <c r="J22" t="s">
        <v>31</v>
      </c>
      <c r="K22" t="s">
        <v>31</v>
      </c>
      <c r="L22" t="s">
        <v>31</v>
      </c>
      <c r="M22" t="s">
        <v>31</v>
      </c>
      <c r="N22" s="76" t="s">
        <v>843</v>
      </c>
      <c r="U22" s="96" t="s">
        <v>843</v>
      </c>
      <c r="V22" s="92" t="s">
        <v>580</v>
      </c>
      <c r="W22" s="93">
        <v>2</v>
      </c>
      <c r="Y22" t="s">
        <v>241</v>
      </c>
      <c r="Z22">
        <f t="shared" si="2"/>
        <v>2E-3</v>
      </c>
    </row>
    <row r="23" spans="1:29" ht="15.6">
      <c r="A23" s="94" t="s">
        <v>1758</v>
      </c>
      <c r="B23">
        <f>Z23</f>
        <v>1.99</v>
      </c>
      <c r="C23" t="s">
        <v>37</v>
      </c>
      <c r="D23" s="17" t="s">
        <v>1754</v>
      </c>
      <c r="E23" t="s">
        <v>29</v>
      </c>
      <c r="F23" s="74" t="s">
        <v>14</v>
      </c>
      <c r="G23" t="s">
        <v>33</v>
      </c>
      <c r="H23">
        <v>1</v>
      </c>
      <c r="I23">
        <f t="shared" si="1"/>
        <v>1.99</v>
      </c>
      <c r="J23" t="s">
        <v>31</v>
      </c>
      <c r="K23" t="s">
        <v>31</v>
      </c>
      <c r="L23" t="s">
        <v>31</v>
      </c>
      <c r="M23" t="s">
        <v>31</v>
      </c>
      <c r="N23" s="76" t="s">
        <v>1758</v>
      </c>
      <c r="U23" s="92" t="s">
        <v>1758</v>
      </c>
      <c r="V23" s="92" t="s">
        <v>241</v>
      </c>
      <c r="W23" s="93">
        <v>1.99</v>
      </c>
      <c r="Y23" t="s">
        <v>241</v>
      </c>
      <c r="Z23">
        <f>W23</f>
        <v>1.99</v>
      </c>
    </row>
    <row r="24" spans="1:29" ht="15.6">
      <c r="A24" s="91" t="s">
        <v>1679</v>
      </c>
      <c r="B24" s="23">
        <f>'B. Machined casing'!B7</f>
        <v>6.65</v>
      </c>
      <c r="C24" t="s">
        <v>37</v>
      </c>
      <c r="D24" s="17" t="s">
        <v>1754</v>
      </c>
      <c r="E24" t="s">
        <v>29</v>
      </c>
      <c r="F24" s="74" t="s">
        <v>14</v>
      </c>
      <c r="G24" t="s">
        <v>33</v>
      </c>
      <c r="H24">
        <v>1</v>
      </c>
      <c r="I24">
        <f t="shared" si="1"/>
        <v>6.65</v>
      </c>
      <c r="J24" t="s">
        <v>31</v>
      </c>
      <c r="K24" t="s">
        <v>31</v>
      </c>
      <c r="L24" t="s">
        <v>31</v>
      </c>
      <c r="M24" t="s">
        <v>31</v>
      </c>
      <c r="N24" s="76" t="s">
        <v>846</v>
      </c>
      <c r="U24" s="92" t="s">
        <v>982</v>
      </c>
      <c r="V24" s="99" t="s">
        <v>241</v>
      </c>
      <c r="W24" s="93">
        <v>6.75</v>
      </c>
      <c r="Y24" t="s">
        <v>241</v>
      </c>
      <c r="Z24">
        <f>W24</f>
        <v>6.75</v>
      </c>
    </row>
    <row r="25" spans="1:29" ht="15.6">
      <c r="A25" s="100" t="s">
        <v>848</v>
      </c>
      <c r="B25">
        <f t="shared" ref="B25:B27" si="3">Z25</f>
        <v>4.9000000000000002E-2</v>
      </c>
      <c r="C25" t="s">
        <v>37</v>
      </c>
      <c r="D25" s="17" t="s">
        <v>221</v>
      </c>
      <c r="E25" t="s">
        <v>29</v>
      </c>
      <c r="F25" s="74" t="s">
        <v>82</v>
      </c>
      <c r="G25" t="s">
        <v>33</v>
      </c>
      <c r="H25">
        <v>1</v>
      </c>
      <c r="I25">
        <f t="shared" si="1"/>
        <v>4.9000000000000002E-2</v>
      </c>
      <c r="J25" t="s">
        <v>31</v>
      </c>
      <c r="K25" t="s">
        <v>31</v>
      </c>
      <c r="L25" t="s">
        <v>31</v>
      </c>
      <c r="M25" t="s">
        <v>31</v>
      </c>
      <c r="N25" s="76" t="s">
        <v>849</v>
      </c>
      <c r="U25" s="101" t="s">
        <v>849</v>
      </c>
      <c r="V25" s="101" t="s">
        <v>580</v>
      </c>
      <c r="W25" s="102">
        <v>49</v>
      </c>
      <c r="Y25" t="s">
        <v>241</v>
      </c>
      <c r="Z25">
        <f>W25*0.001</f>
        <v>4.9000000000000002E-2</v>
      </c>
    </row>
    <row r="26" spans="1:29" ht="15.6">
      <c r="A26" s="100" t="s">
        <v>850</v>
      </c>
      <c r="B26">
        <f t="shared" si="3"/>
        <v>1.0999999999999999E-2</v>
      </c>
      <c r="C26" t="s">
        <v>37</v>
      </c>
      <c r="D26" s="17" t="s">
        <v>221</v>
      </c>
      <c r="E26" t="s">
        <v>29</v>
      </c>
      <c r="F26" s="74" t="s">
        <v>59</v>
      </c>
      <c r="G26" t="s">
        <v>33</v>
      </c>
      <c r="H26">
        <v>1</v>
      </c>
      <c r="I26">
        <f t="shared" si="1"/>
        <v>1.0999999999999999E-2</v>
      </c>
      <c r="J26" t="s">
        <v>31</v>
      </c>
      <c r="K26" t="s">
        <v>31</v>
      </c>
      <c r="L26" t="s">
        <v>31</v>
      </c>
      <c r="M26" t="s">
        <v>31</v>
      </c>
      <c r="N26" t="s">
        <v>851</v>
      </c>
      <c r="U26" s="101" t="s">
        <v>851</v>
      </c>
      <c r="V26" s="101" t="s">
        <v>580</v>
      </c>
      <c r="W26" s="102">
        <v>11</v>
      </c>
      <c r="Y26" t="s">
        <v>241</v>
      </c>
      <c r="Z26">
        <f>0.001*W26</f>
        <v>1.0999999999999999E-2</v>
      </c>
    </row>
    <row r="27" spans="1:29" ht="15.6">
      <c r="A27" s="100" t="s">
        <v>179</v>
      </c>
      <c r="B27">
        <f t="shared" si="3"/>
        <v>1.0999999999999999E-2</v>
      </c>
      <c r="C27" t="s">
        <v>37</v>
      </c>
      <c r="D27" s="17" t="s">
        <v>221</v>
      </c>
      <c r="E27" t="s">
        <v>29</v>
      </c>
      <c r="F27" s="74" t="s">
        <v>35</v>
      </c>
      <c r="G27" t="s">
        <v>33</v>
      </c>
      <c r="H27">
        <v>1</v>
      </c>
      <c r="I27">
        <f t="shared" si="1"/>
        <v>1.0999999999999999E-2</v>
      </c>
      <c r="J27" t="s">
        <v>31</v>
      </c>
      <c r="K27" t="s">
        <v>31</v>
      </c>
      <c r="L27" t="s">
        <v>31</v>
      </c>
      <c r="M27" t="s">
        <v>31</v>
      </c>
      <c r="N27" t="s">
        <v>852</v>
      </c>
      <c r="U27" s="101" t="s">
        <v>852</v>
      </c>
      <c r="V27" s="101" t="s">
        <v>580</v>
      </c>
      <c r="W27" s="102">
        <v>11</v>
      </c>
      <c r="Y27" t="s">
        <v>241</v>
      </c>
      <c r="Z27">
        <f>0.001*W27</f>
        <v>1.0999999999999999E-2</v>
      </c>
    </row>
    <row r="28" spans="1:29" ht="15.6">
      <c r="A28" s="103" t="s">
        <v>38</v>
      </c>
      <c r="B28">
        <v>1.6</v>
      </c>
      <c r="C28" t="s">
        <v>39</v>
      </c>
      <c r="D28" s="17" t="s">
        <v>221</v>
      </c>
      <c r="E28" t="s">
        <v>29</v>
      </c>
      <c r="F28" t="s">
        <v>14</v>
      </c>
      <c r="G28" t="s">
        <v>33</v>
      </c>
      <c r="H28">
        <v>1</v>
      </c>
      <c r="I28">
        <f t="shared" si="1"/>
        <v>1.6</v>
      </c>
      <c r="J28" t="s">
        <v>31</v>
      </c>
      <c r="K28" t="s">
        <v>31</v>
      </c>
      <c r="L28" t="s">
        <v>31</v>
      </c>
      <c r="M28" t="s">
        <v>31</v>
      </c>
      <c r="N28" t="s">
        <v>983</v>
      </c>
      <c r="U28" s="92"/>
      <c r="V28" s="99"/>
      <c r="W28" s="93"/>
    </row>
    <row r="29" spans="1:29" ht="15.6">
      <c r="A29" s="103" t="s">
        <v>38</v>
      </c>
      <c r="B29">
        <v>3.7</v>
      </c>
      <c r="C29" t="s">
        <v>39</v>
      </c>
      <c r="D29" s="17" t="s">
        <v>221</v>
      </c>
      <c r="E29" t="s">
        <v>29</v>
      </c>
      <c r="F29" t="s">
        <v>14</v>
      </c>
      <c r="G29" t="s">
        <v>33</v>
      </c>
      <c r="H29">
        <v>1</v>
      </c>
      <c r="I29">
        <f t="shared" si="1"/>
        <v>3.7</v>
      </c>
      <c r="J29" t="s">
        <v>31</v>
      </c>
      <c r="K29" t="s">
        <v>31</v>
      </c>
      <c r="L29" t="s">
        <v>31</v>
      </c>
      <c r="M29" t="s">
        <v>31</v>
      </c>
      <c r="N29" t="s">
        <v>854</v>
      </c>
    </row>
    <row r="30" spans="1:29" ht="15.6">
      <c r="A30" s="103" t="s">
        <v>38</v>
      </c>
      <c r="B30">
        <v>1.5</v>
      </c>
      <c r="C30" t="s">
        <v>39</v>
      </c>
      <c r="D30" s="17" t="s">
        <v>221</v>
      </c>
      <c r="E30" t="s">
        <v>29</v>
      </c>
      <c r="F30" t="s">
        <v>14</v>
      </c>
      <c r="G30" t="s">
        <v>33</v>
      </c>
      <c r="H30">
        <v>1</v>
      </c>
      <c r="I30">
        <f t="shared" si="1"/>
        <v>1.5</v>
      </c>
      <c r="J30" t="s">
        <v>31</v>
      </c>
      <c r="K30" t="s">
        <v>31</v>
      </c>
      <c r="L30" t="s">
        <v>31</v>
      </c>
      <c r="M30" t="s">
        <v>31</v>
      </c>
      <c r="N30" t="s">
        <v>855</v>
      </c>
    </row>
    <row r="31" spans="1:29" ht="15.6">
      <c r="A31" s="67"/>
      <c r="B31" s="68"/>
      <c r="C31" s="69"/>
      <c r="D31" s="70"/>
      <c r="E31" s="70"/>
      <c r="F31" s="70"/>
      <c r="G31" s="70"/>
      <c r="H31" s="70"/>
      <c r="I31" s="70"/>
      <c r="J31" s="70"/>
      <c r="K31" s="70"/>
      <c r="L31" s="70"/>
      <c r="M31" s="70"/>
    </row>
    <row r="32" spans="1:29">
      <c r="A32" s="71"/>
      <c r="C32" s="72"/>
      <c r="N32" t="s">
        <v>1759</v>
      </c>
    </row>
    <row r="33" spans="1:14">
      <c r="A33" s="71"/>
      <c r="C33" s="72"/>
      <c r="N33" s="104">
        <f>SUM(B13:B27)-B17+0.245</f>
        <v>13.505999999999997</v>
      </c>
    </row>
    <row r="34" spans="1:14">
      <c r="A34" s="71"/>
      <c r="B34" s="73"/>
    </row>
    <row r="35" spans="1:14" ht="15.6">
      <c r="A35" s="76"/>
      <c r="D35" s="17"/>
      <c r="F35" s="74"/>
    </row>
    <row r="36" spans="1:14" ht="15.6">
      <c r="D36" s="17"/>
      <c r="F36" s="74"/>
    </row>
    <row r="37" spans="1:14" ht="15.6">
      <c r="A37" s="76"/>
      <c r="D37" s="17"/>
      <c r="F37" s="74"/>
    </row>
    <row r="38" spans="1:14" ht="15.6">
      <c r="A38" s="76"/>
      <c r="D38" s="17"/>
      <c r="F38" s="74"/>
    </row>
    <row r="39" spans="1:14" ht="15.6">
      <c r="A39" s="17"/>
      <c r="D39" s="17"/>
      <c r="F39" s="74"/>
    </row>
    <row r="40" spans="1:14" ht="15.6">
      <c r="A40" s="17"/>
      <c r="D40" s="17"/>
    </row>
    <row r="41" spans="1:14" ht="15.6">
      <c r="A41" s="76"/>
      <c r="D41" s="17"/>
    </row>
  </sheetData>
  <pageMargins left="0.7" right="0.7" top="0.75" bottom="0.75" header="0.3" footer="0.3"/>
  <pageSetup paperSize="9" orientation="portrai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BE4CF-98B8-437F-8187-743B2BA956A9}">
  <sheetPr>
    <tabColor theme="8" tint="0.79998168889431442"/>
  </sheetPr>
  <dimension ref="A1:U104"/>
  <sheetViews>
    <sheetView zoomScale="85" zoomScaleNormal="85" workbookViewId="0">
      <selection activeCell="B5" sqref="B5"/>
    </sheetView>
  </sheetViews>
  <sheetFormatPr defaultRowHeight="14.45"/>
  <cols>
    <col min="1" max="1" width="52.42578125" style="22" customWidth="1"/>
    <col min="2" max="2" width="17.5703125" customWidth="1"/>
    <col min="3" max="3" width="13.7109375" customWidth="1"/>
    <col min="4" max="4" width="39.85546875" customWidth="1"/>
    <col min="7" max="7" width="14.85546875" customWidth="1"/>
    <col min="17" max="17" width="11.28515625" bestFit="1" customWidth="1"/>
  </cols>
  <sheetData>
    <row r="1" spans="1:21">
      <c r="A1" s="22" t="s">
        <v>0</v>
      </c>
      <c r="B1">
        <v>13</v>
      </c>
    </row>
    <row r="2" spans="1:21" ht="15.6">
      <c r="A2" s="105" t="s">
        <v>5</v>
      </c>
      <c r="B2" s="106" t="s">
        <v>1756</v>
      </c>
      <c r="C2" s="69"/>
      <c r="D2" s="70"/>
      <c r="E2" s="70"/>
      <c r="F2" s="70"/>
      <c r="G2" s="70"/>
      <c r="H2" s="70"/>
      <c r="I2" s="70"/>
      <c r="J2" s="70"/>
      <c r="K2" s="70"/>
      <c r="L2" s="70"/>
      <c r="M2" s="70"/>
      <c r="N2" s="70"/>
      <c r="O2" s="70"/>
      <c r="P2" s="70"/>
      <c r="Q2" s="70"/>
      <c r="R2" s="70"/>
    </row>
    <row r="3" spans="1:21">
      <c r="A3" s="107" t="s">
        <v>7</v>
      </c>
      <c r="B3" t="s">
        <v>1654</v>
      </c>
      <c r="C3" s="72"/>
    </row>
    <row r="4" spans="1:21">
      <c r="A4" s="107" t="s">
        <v>9</v>
      </c>
      <c r="B4" t="s">
        <v>1760</v>
      </c>
      <c r="C4" s="72"/>
      <c r="U4" s="84"/>
    </row>
    <row r="5" spans="1:21" ht="12.75" customHeight="1">
      <c r="A5" s="107" t="s">
        <v>11</v>
      </c>
      <c r="B5" s="73" t="s">
        <v>796</v>
      </c>
    </row>
    <row r="6" spans="1:21">
      <c r="A6" s="107" t="s">
        <v>13</v>
      </c>
      <c r="B6" t="s">
        <v>14</v>
      </c>
    </row>
    <row r="7" spans="1:21">
      <c r="A7" s="107" t="s">
        <v>15</v>
      </c>
      <c r="B7">
        <f>B12</f>
        <v>1.0999999999999999E-2</v>
      </c>
    </row>
    <row r="8" spans="1:21">
      <c r="A8" s="107" t="s">
        <v>16</v>
      </c>
      <c r="B8" t="s">
        <v>17</v>
      </c>
    </row>
    <row r="9" spans="1:21">
      <c r="A9" s="107" t="s">
        <v>18</v>
      </c>
      <c r="B9" t="s">
        <v>609</v>
      </c>
    </row>
    <row r="10" spans="1:21" ht="15.6">
      <c r="A10" s="108" t="s">
        <v>19</v>
      </c>
    </row>
    <row r="11" spans="1:21" ht="15.6">
      <c r="A11" s="108"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6">
      <c r="A12" s="22" t="s">
        <v>1756</v>
      </c>
      <c r="B12">
        <v>1.0999999999999999E-2</v>
      </c>
      <c r="C12" t="s">
        <v>609</v>
      </c>
      <c r="D12" s="109" t="s">
        <v>1754</v>
      </c>
      <c r="E12" t="s">
        <v>29</v>
      </c>
      <c r="F12" s="74" t="s">
        <v>14</v>
      </c>
      <c r="G12" t="s">
        <v>30</v>
      </c>
      <c r="H12">
        <v>1</v>
      </c>
      <c r="I12">
        <f>B12</f>
        <v>1.0999999999999999E-2</v>
      </c>
      <c r="J12" t="s">
        <v>31</v>
      </c>
      <c r="K12" t="s">
        <v>31</v>
      </c>
      <c r="L12" t="s">
        <v>31</v>
      </c>
      <c r="M12" t="s">
        <v>31</v>
      </c>
      <c r="O12" s="110"/>
      <c r="P12" s="111"/>
    </row>
    <row r="13" spans="1:21" ht="15.6">
      <c r="A13" s="22" t="s">
        <v>1761</v>
      </c>
      <c r="B13">
        <f>R13</f>
        <v>6.3799999999999982E-2</v>
      </c>
      <c r="C13" t="s">
        <v>37</v>
      </c>
      <c r="D13" s="109" t="s">
        <v>1754</v>
      </c>
      <c r="E13" t="s">
        <v>29</v>
      </c>
      <c r="F13" s="74" t="s">
        <v>14</v>
      </c>
      <c r="G13" t="s">
        <v>33</v>
      </c>
      <c r="H13">
        <v>1</v>
      </c>
      <c r="I13">
        <f t="shared" ref="I13:I14" si="0">B13</f>
        <v>6.3799999999999982E-2</v>
      </c>
      <c r="J13" t="s">
        <v>31</v>
      </c>
      <c r="K13" t="s">
        <v>31</v>
      </c>
      <c r="L13" t="s">
        <v>31</v>
      </c>
      <c r="M13" t="s">
        <v>31</v>
      </c>
      <c r="O13" s="104" t="s">
        <v>1762</v>
      </c>
      <c r="P13">
        <f>0.29/0.05</f>
        <v>5.7999999999999989</v>
      </c>
      <c r="Q13" t="s">
        <v>891</v>
      </c>
      <c r="R13">
        <f>P13*B12</f>
        <v>6.3799999999999982E-2</v>
      </c>
    </row>
    <row r="14" spans="1:21" ht="15.6">
      <c r="A14" s="22" t="s">
        <v>1763</v>
      </c>
      <c r="B14">
        <f>B12</f>
        <v>1.0999999999999999E-2</v>
      </c>
      <c r="C14" t="s">
        <v>609</v>
      </c>
      <c r="D14" s="109" t="s">
        <v>1754</v>
      </c>
      <c r="E14" t="s">
        <v>29</v>
      </c>
      <c r="F14" s="74" t="s">
        <v>14</v>
      </c>
      <c r="G14" t="s">
        <v>33</v>
      </c>
      <c r="H14">
        <v>1</v>
      </c>
      <c r="I14">
        <f t="shared" si="0"/>
        <v>1.0999999999999999E-2</v>
      </c>
      <c r="J14" t="s">
        <v>31</v>
      </c>
      <c r="K14" t="s">
        <v>31</v>
      </c>
      <c r="L14" t="s">
        <v>31</v>
      </c>
      <c r="M14" t="s">
        <v>31</v>
      </c>
    </row>
    <row r="15" spans="1:21" ht="15.6">
      <c r="A15" s="112" t="s">
        <v>799</v>
      </c>
      <c r="B15">
        <f>P15</f>
        <v>0.09</v>
      </c>
      <c r="C15" t="s">
        <v>37</v>
      </c>
      <c r="D15" s="17" t="s">
        <v>221</v>
      </c>
      <c r="E15" t="s">
        <v>29</v>
      </c>
      <c r="F15" s="74" t="s">
        <v>74</v>
      </c>
      <c r="G15" t="s">
        <v>33</v>
      </c>
      <c r="H15">
        <v>2</v>
      </c>
      <c r="I15">
        <f>LN(B15)</f>
        <v>-2.4079456086518722</v>
      </c>
      <c r="J15" s="113">
        <v>0.11236102527122109</v>
      </c>
      <c r="K15" t="s">
        <v>31</v>
      </c>
      <c r="L15" t="s">
        <v>31</v>
      </c>
      <c r="M15" t="s">
        <v>31</v>
      </c>
      <c r="O15" s="101" t="s">
        <v>241</v>
      </c>
      <c r="P15" s="138">
        <v>0.09</v>
      </c>
    </row>
    <row r="16" spans="1:21" ht="15.6">
      <c r="A16" s="112" t="s">
        <v>862</v>
      </c>
      <c r="B16" s="115">
        <f>Q16</f>
        <v>4.4999999999999998E-9</v>
      </c>
      <c r="C16" t="s">
        <v>37</v>
      </c>
      <c r="D16" s="17" t="s">
        <v>221</v>
      </c>
      <c r="E16" t="s">
        <v>29</v>
      </c>
      <c r="F16" s="74" t="s">
        <v>59</v>
      </c>
      <c r="G16" t="s">
        <v>33</v>
      </c>
      <c r="H16">
        <v>2</v>
      </c>
      <c r="I16">
        <f t="shared" ref="I16:I17" si="1">LN(B16)</f>
        <v>-19.219188440170136</v>
      </c>
      <c r="J16" s="113">
        <v>0.11236102527122109</v>
      </c>
      <c r="K16" t="s">
        <v>31</v>
      </c>
      <c r="L16" t="s">
        <v>31</v>
      </c>
      <c r="M16" t="s">
        <v>31</v>
      </c>
      <c r="O16" s="116" t="s">
        <v>538</v>
      </c>
      <c r="P16" s="175">
        <v>4.4999999999999997E-3</v>
      </c>
      <c r="Q16" s="115">
        <f>P16*10^(-6)</f>
        <v>4.4999999999999998E-9</v>
      </c>
      <c r="R16" t="s">
        <v>37</v>
      </c>
    </row>
    <row r="17" spans="1:18" ht="15.6">
      <c r="A17" s="112" t="s">
        <v>76</v>
      </c>
      <c r="B17">
        <f>Q17</f>
        <v>8.9999999999999992E-5</v>
      </c>
      <c r="C17" t="s">
        <v>42</v>
      </c>
      <c r="D17" s="17" t="s">
        <v>221</v>
      </c>
      <c r="E17" t="s">
        <v>29</v>
      </c>
      <c r="F17" s="74" t="s">
        <v>74</v>
      </c>
      <c r="G17" t="s">
        <v>33</v>
      </c>
      <c r="H17">
        <v>2</v>
      </c>
      <c r="I17">
        <f t="shared" si="1"/>
        <v>-9.3157008876340086</v>
      </c>
      <c r="J17" s="113">
        <v>0.11236102527122109</v>
      </c>
      <c r="K17" t="s">
        <v>31</v>
      </c>
      <c r="L17" t="s">
        <v>31</v>
      </c>
      <c r="M17" t="s">
        <v>31</v>
      </c>
      <c r="O17" s="118" t="s">
        <v>863</v>
      </c>
      <c r="P17" s="142">
        <v>0.09</v>
      </c>
      <c r="Q17">
        <f>P17/1000</f>
        <v>8.9999999999999992E-5</v>
      </c>
      <c r="R17" t="s">
        <v>864</v>
      </c>
    </row>
    <row r="18" spans="1:18" ht="15.6">
      <c r="A18" s="105" t="s">
        <v>5</v>
      </c>
      <c r="B18" s="106" t="s">
        <v>1761</v>
      </c>
      <c r="C18" s="69"/>
      <c r="D18" s="70"/>
      <c r="E18" s="70"/>
      <c r="F18" s="70"/>
      <c r="G18" s="70"/>
      <c r="H18" s="70"/>
      <c r="I18" s="70"/>
      <c r="J18" s="70"/>
      <c r="K18" s="70"/>
      <c r="L18" s="70"/>
      <c r="M18" s="70"/>
      <c r="N18" s="70"/>
      <c r="O18" s="70"/>
      <c r="P18" s="70"/>
      <c r="Q18" s="70"/>
      <c r="R18" s="70"/>
    </row>
    <row r="19" spans="1:18">
      <c r="A19" s="107" t="s">
        <v>7</v>
      </c>
      <c r="B19" t="s">
        <v>1654</v>
      </c>
      <c r="C19" s="72"/>
    </row>
    <row r="20" spans="1:18">
      <c r="A20" s="107" t="s">
        <v>9</v>
      </c>
      <c r="B20" t="s">
        <v>1764</v>
      </c>
      <c r="C20" s="72"/>
    </row>
    <row r="21" spans="1:18" ht="10.5" customHeight="1">
      <c r="A21" s="107" t="s">
        <v>11</v>
      </c>
      <c r="B21" s="73" t="s">
        <v>796</v>
      </c>
      <c r="P21" s="120"/>
    </row>
    <row r="22" spans="1:18">
      <c r="A22" s="107" t="s">
        <v>13</v>
      </c>
      <c r="B22" t="s">
        <v>14</v>
      </c>
      <c r="P22" s="120"/>
    </row>
    <row r="23" spans="1:18">
      <c r="A23" s="107" t="s">
        <v>15</v>
      </c>
      <c r="B23">
        <f>B28</f>
        <v>6.0000000000000001E-3</v>
      </c>
      <c r="P23" s="120"/>
    </row>
    <row r="24" spans="1:18">
      <c r="A24" s="107" t="s">
        <v>16</v>
      </c>
      <c r="B24" t="s">
        <v>17</v>
      </c>
    </row>
    <row r="25" spans="1:18">
      <c r="A25" s="107" t="s">
        <v>18</v>
      </c>
      <c r="B25" t="s">
        <v>37</v>
      </c>
    </row>
    <row r="26" spans="1:18" ht="15.6">
      <c r="A26" s="108" t="s">
        <v>19</v>
      </c>
    </row>
    <row r="27" spans="1:18" ht="15.6">
      <c r="A27" s="108"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6">
      <c r="A28" s="22" t="s">
        <v>1761</v>
      </c>
      <c r="B28">
        <v>6.0000000000000001E-3</v>
      </c>
      <c r="C28" t="s">
        <v>37</v>
      </c>
      <c r="D28" s="109" t="s">
        <v>1754</v>
      </c>
      <c r="E28" t="s">
        <v>29</v>
      </c>
      <c r="F28" s="74" t="s">
        <v>14</v>
      </c>
      <c r="G28" t="s">
        <v>30</v>
      </c>
      <c r="H28">
        <v>1</v>
      </c>
      <c r="I28">
        <f>B28</f>
        <v>6.0000000000000001E-3</v>
      </c>
      <c r="J28" t="s">
        <v>31</v>
      </c>
      <c r="K28" t="s">
        <v>31</v>
      </c>
      <c r="L28" t="s">
        <v>31</v>
      </c>
      <c r="M28" t="s">
        <v>31</v>
      </c>
    </row>
    <row r="29" spans="1:18" ht="15.6">
      <c r="A29" s="112" t="s">
        <v>862</v>
      </c>
      <c r="B29" s="115">
        <f>R29</f>
        <v>6.5000000000000006E-3</v>
      </c>
      <c r="C29" t="s">
        <v>37</v>
      </c>
      <c r="D29" s="17" t="s">
        <v>221</v>
      </c>
      <c r="E29" t="s">
        <v>29</v>
      </c>
      <c r="F29" s="74" t="s">
        <v>59</v>
      </c>
      <c r="G29" t="s">
        <v>33</v>
      </c>
      <c r="H29">
        <v>2</v>
      </c>
      <c r="I29">
        <f t="shared" ref="I29:I31" si="2">LN(B29)</f>
        <v>-5.0359531020805459</v>
      </c>
      <c r="J29" s="113">
        <v>0.11236102527122109</v>
      </c>
      <c r="K29" t="s">
        <v>31</v>
      </c>
      <c r="L29" t="s">
        <v>31</v>
      </c>
      <c r="M29" t="s">
        <v>31</v>
      </c>
      <c r="O29" s="101" t="s">
        <v>580</v>
      </c>
      <c r="P29" s="114">
        <v>6.5</v>
      </c>
      <c r="Q29" t="s">
        <v>241</v>
      </c>
      <c r="R29">
        <f>P29*0.001</f>
        <v>6.5000000000000006E-3</v>
      </c>
    </row>
    <row r="30" spans="1:18" ht="15.6">
      <c r="A30" s="121" t="s">
        <v>38</v>
      </c>
      <c r="B30" s="122">
        <f>P30</f>
        <v>0.03</v>
      </c>
      <c r="C30" t="s">
        <v>39</v>
      </c>
      <c r="D30" s="17" t="s">
        <v>221</v>
      </c>
      <c r="E30" t="s">
        <v>29</v>
      </c>
      <c r="F30" s="74" t="s">
        <v>35</v>
      </c>
      <c r="G30" t="s">
        <v>33</v>
      </c>
      <c r="H30">
        <v>2</v>
      </c>
      <c r="I30">
        <f t="shared" si="2"/>
        <v>-3.5065578973199818</v>
      </c>
      <c r="J30" s="113">
        <v>0.11236102527122109</v>
      </c>
      <c r="K30" t="s">
        <v>31</v>
      </c>
      <c r="L30" t="s">
        <v>31</v>
      </c>
      <c r="M30" t="s">
        <v>31</v>
      </c>
      <c r="O30" s="101" t="s">
        <v>248</v>
      </c>
      <c r="P30" s="114">
        <v>0.03</v>
      </c>
    </row>
    <row r="31" spans="1:18" ht="15.6">
      <c r="A31" s="112" t="s">
        <v>866</v>
      </c>
      <c r="B31">
        <f>R31</f>
        <v>2.9999999999999997E-4</v>
      </c>
      <c r="C31" t="s">
        <v>37</v>
      </c>
      <c r="D31" s="17" t="s">
        <v>43</v>
      </c>
      <c r="E31" t="s">
        <v>867</v>
      </c>
      <c r="F31" s="74" t="s">
        <v>29</v>
      </c>
      <c r="G31" t="s">
        <v>45</v>
      </c>
      <c r="H31">
        <v>2</v>
      </c>
      <c r="I31">
        <f t="shared" si="2"/>
        <v>-8.1117280833080727</v>
      </c>
      <c r="J31" s="113">
        <v>0.11236102527122109</v>
      </c>
      <c r="K31" t="s">
        <v>31</v>
      </c>
      <c r="L31" t="s">
        <v>31</v>
      </c>
      <c r="M31" t="s">
        <v>31</v>
      </c>
      <c r="O31" s="118" t="s">
        <v>580</v>
      </c>
      <c r="P31" s="119">
        <v>0.3</v>
      </c>
      <c r="Q31" t="s">
        <v>241</v>
      </c>
      <c r="R31">
        <f>P31*0.001</f>
        <v>2.9999999999999997E-4</v>
      </c>
    </row>
    <row r="32" spans="1:18" ht="15.6">
      <c r="A32" s="105" t="s">
        <v>5</v>
      </c>
      <c r="B32" s="123" t="s">
        <v>1763</v>
      </c>
      <c r="C32" s="69"/>
      <c r="D32" s="70"/>
      <c r="E32" s="70"/>
      <c r="F32" s="70"/>
      <c r="G32" s="70"/>
      <c r="H32" s="70"/>
      <c r="I32" s="70"/>
      <c r="J32" s="70"/>
      <c r="K32" s="70"/>
      <c r="L32" s="70"/>
      <c r="M32" s="70"/>
      <c r="N32" s="70"/>
      <c r="O32" s="70"/>
      <c r="P32" s="70"/>
      <c r="Q32" s="70"/>
      <c r="R32" s="70"/>
    </row>
    <row r="33" spans="1:20">
      <c r="A33" s="107" t="s">
        <v>7</v>
      </c>
      <c r="B33" t="s">
        <v>1654</v>
      </c>
      <c r="C33" s="72"/>
    </row>
    <row r="34" spans="1:20">
      <c r="A34" s="107" t="s">
        <v>9</v>
      </c>
      <c r="B34" t="s">
        <v>1765</v>
      </c>
      <c r="C34" s="72"/>
    </row>
    <row r="35" spans="1:20" ht="15.75" customHeight="1">
      <c r="A35" s="107" t="s">
        <v>11</v>
      </c>
      <c r="B35" s="73" t="s">
        <v>796</v>
      </c>
      <c r="O35" s="84" t="s">
        <v>1766</v>
      </c>
      <c r="T35" s="84"/>
    </row>
    <row r="36" spans="1:20">
      <c r="A36" s="107" t="s">
        <v>13</v>
      </c>
      <c r="B36" t="s">
        <v>14</v>
      </c>
      <c r="O36">
        <f>0.29/0.05</f>
        <v>5.7999999999999989</v>
      </c>
      <c r="P36" t="s">
        <v>891</v>
      </c>
    </row>
    <row r="37" spans="1:20">
      <c r="A37" s="107" t="s">
        <v>15</v>
      </c>
      <c r="B37">
        <v>0.22</v>
      </c>
    </row>
    <row r="38" spans="1:20">
      <c r="A38" s="107" t="s">
        <v>16</v>
      </c>
      <c r="B38" t="s">
        <v>17</v>
      </c>
    </row>
    <row r="39" spans="1:20">
      <c r="A39" s="107" t="s">
        <v>18</v>
      </c>
      <c r="B39" t="s">
        <v>609</v>
      </c>
    </row>
    <row r="40" spans="1:20" ht="15.6">
      <c r="A40" s="108" t="s">
        <v>19</v>
      </c>
    </row>
    <row r="41" spans="1:20" ht="15.6">
      <c r="A41" s="108"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0" ht="15.6">
      <c r="A42" s="22" t="s">
        <v>1763</v>
      </c>
      <c r="B42">
        <v>0.05</v>
      </c>
      <c r="C42" t="s">
        <v>609</v>
      </c>
      <c r="D42" s="109" t="s">
        <v>1754</v>
      </c>
      <c r="E42" t="s">
        <v>29</v>
      </c>
      <c r="F42" s="74" t="s">
        <v>14</v>
      </c>
      <c r="G42" t="s">
        <v>30</v>
      </c>
      <c r="H42">
        <v>1</v>
      </c>
      <c r="I42">
        <f>B42</f>
        <v>0.05</v>
      </c>
      <c r="J42" t="s">
        <v>31</v>
      </c>
      <c r="K42" t="s">
        <v>31</v>
      </c>
      <c r="L42" t="s">
        <v>31</v>
      </c>
      <c r="M42" t="s">
        <v>31</v>
      </c>
    </row>
    <row r="43" spans="1:20" ht="15.6">
      <c r="A43" s="22" t="s">
        <v>1767</v>
      </c>
      <c r="B43" s="115">
        <v>0.28999999999999998</v>
      </c>
      <c r="C43" t="s">
        <v>37</v>
      </c>
      <c r="D43" s="109" t="s">
        <v>1754</v>
      </c>
      <c r="E43" t="s">
        <v>29</v>
      </c>
      <c r="F43" s="74" t="s">
        <v>14</v>
      </c>
      <c r="G43" t="s">
        <v>33</v>
      </c>
      <c r="H43">
        <v>1</v>
      </c>
      <c r="I43">
        <f>B43</f>
        <v>0.28999999999999998</v>
      </c>
      <c r="J43" t="s">
        <v>31</v>
      </c>
      <c r="K43" t="s">
        <v>31</v>
      </c>
      <c r="L43" t="s">
        <v>31</v>
      </c>
      <c r="M43" t="s">
        <v>31</v>
      </c>
      <c r="O43" s="101"/>
      <c r="P43" s="114"/>
    </row>
    <row r="44" spans="1:20" ht="15.6">
      <c r="A44" s="121" t="s">
        <v>38</v>
      </c>
      <c r="B44" s="122">
        <f>P44</f>
        <v>0.31</v>
      </c>
      <c r="C44" t="s">
        <v>39</v>
      </c>
      <c r="D44" s="17" t="s">
        <v>221</v>
      </c>
      <c r="E44" t="s">
        <v>29</v>
      </c>
      <c r="F44" s="74" t="s">
        <v>35</v>
      </c>
      <c r="G44" t="s">
        <v>33</v>
      </c>
      <c r="H44">
        <v>2</v>
      </c>
      <c r="I44">
        <f t="shared" ref="I44" si="3">LN(B44)</f>
        <v>-1.1711829815029451</v>
      </c>
      <c r="J44" s="113">
        <v>7.2284161474004766E-2</v>
      </c>
      <c r="K44" t="s">
        <v>31</v>
      </c>
      <c r="L44" t="s">
        <v>31</v>
      </c>
      <c r="M44" t="s">
        <v>31</v>
      </c>
      <c r="O44" s="101" t="s">
        <v>248</v>
      </c>
      <c r="P44" s="138">
        <v>0.31</v>
      </c>
    </row>
    <row r="45" spans="1:20" ht="15.6">
      <c r="A45" s="112" t="s">
        <v>310</v>
      </c>
      <c r="B45">
        <f>R45</f>
        <v>7.0000000000000001E-3</v>
      </c>
      <c r="C45" t="s">
        <v>37</v>
      </c>
      <c r="D45" s="17" t="s">
        <v>221</v>
      </c>
      <c r="E45" t="s">
        <v>29</v>
      </c>
      <c r="F45" s="74" t="s">
        <v>59</v>
      </c>
      <c r="G45" t="s">
        <v>33</v>
      </c>
      <c r="H45">
        <v>2</v>
      </c>
      <c r="I45">
        <f>LN(B45)</f>
        <v>-4.9618451299268234</v>
      </c>
      <c r="J45" s="113">
        <v>7.2284161474004766E-2</v>
      </c>
      <c r="K45" t="s">
        <v>31</v>
      </c>
      <c r="L45" t="s">
        <v>31</v>
      </c>
      <c r="M45" t="s">
        <v>31</v>
      </c>
      <c r="O45" s="101" t="s">
        <v>580</v>
      </c>
      <c r="P45" s="138">
        <v>7</v>
      </c>
      <c r="Q45" t="s">
        <v>241</v>
      </c>
      <c r="R45">
        <f>P45*0.001</f>
        <v>7.0000000000000001E-3</v>
      </c>
    </row>
    <row r="46" spans="1:20" ht="15.6">
      <c r="A46" s="112" t="s">
        <v>871</v>
      </c>
      <c r="B46">
        <f>R46</f>
        <v>1.3000000000000001E-2</v>
      </c>
      <c r="C46" t="s">
        <v>37</v>
      </c>
      <c r="D46" s="17" t="s">
        <v>221</v>
      </c>
      <c r="E46" t="s">
        <v>29</v>
      </c>
      <c r="F46" s="74" t="s">
        <v>35</v>
      </c>
      <c r="G46" t="s">
        <v>33</v>
      </c>
      <c r="H46">
        <v>2</v>
      </c>
      <c r="I46">
        <f>LN(B46)</f>
        <v>-4.3428059215206005</v>
      </c>
      <c r="J46" s="113">
        <v>7.2284161474004766E-2</v>
      </c>
      <c r="K46" t="s">
        <v>31</v>
      </c>
      <c r="L46" t="s">
        <v>31</v>
      </c>
      <c r="M46" t="s">
        <v>31</v>
      </c>
      <c r="O46" s="101" t="s">
        <v>580</v>
      </c>
      <c r="P46" s="138">
        <v>13</v>
      </c>
      <c r="Q46" t="s">
        <v>241</v>
      </c>
      <c r="R46">
        <f>P46*0.001</f>
        <v>1.3000000000000001E-2</v>
      </c>
    </row>
    <row r="47" spans="1:20" ht="15.6">
      <c r="A47" s="112" t="s">
        <v>799</v>
      </c>
      <c r="B47">
        <f>P47</f>
        <v>11.7</v>
      </c>
      <c r="C47" t="s">
        <v>37</v>
      </c>
      <c r="D47" s="17" t="s">
        <v>221</v>
      </c>
      <c r="E47" t="s">
        <v>29</v>
      </c>
      <c r="F47" s="74" t="s">
        <v>74</v>
      </c>
      <c r="G47" t="s">
        <v>33</v>
      </c>
      <c r="H47">
        <v>2</v>
      </c>
      <c r="I47">
        <f>LN(B47)</f>
        <v>2.4595888418037104</v>
      </c>
      <c r="J47" s="113">
        <v>7.2284161474004766E-2</v>
      </c>
      <c r="K47" t="s">
        <v>31</v>
      </c>
      <c r="L47" t="s">
        <v>31</v>
      </c>
      <c r="M47" t="s">
        <v>31</v>
      </c>
      <c r="O47" s="101" t="s">
        <v>241</v>
      </c>
      <c r="P47" s="138">
        <v>11.7</v>
      </c>
    </row>
    <row r="48" spans="1:20" ht="15.6">
      <c r="A48" s="112" t="s">
        <v>76</v>
      </c>
      <c r="B48">
        <f>R48</f>
        <v>1.1699999999999999E-2</v>
      </c>
      <c r="C48" t="s">
        <v>42</v>
      </c>
      <c r="D48" s="17" t="s">
        <v>221</v>
      </c>
      <c r="E48" t="s">
        <v>29</v>
      </c>
      <c r="F48" s="74" t="s">
        <v>74</v>
      </c>
      <c r="G48" t="s">
        <v>33</v>
      </c>
      <c r="H48">
        <v>2</v>
      </c>
      <c r="I48">
        <f t="shared" ref="I48" si="4">LN(B48)</f>
        <v>-4.4481664371784264</v>
      </c>
      <c r="J48" s="113">
        <v>7.2284161474004766E-2</v>
      </c>
      <c r="K48" t="s">
        <v>31</v>
      </c>
      <c r="L48" t="s">
        <v>31</v>
      </c>
      <c r="M48" t="s">
        <v>31</v>
      </c>
      <c r="O48" s="118" t="s">
        <v>863</v>
      </c>
      <c r="P48" s="142">
        <v>11.7</v>
      </c>
      <c r="Q48" t="s">
        <v>251</v>
      </c>
      <c r="R48">
        <f>P48/1000</f>
        <v>1.1699999999999999E-2</v>
      </c>
    </row>
    <row r="49" spans="1:18" ht="15.6">
      <c r="A49" s="105" t="s">
        <v>5</v>
      </c>
      <c r="B49" s="123" t="s">
        <v>1768</v>
      </c>
      <c r="C49" s="69"/>
      <c r="D49" s="70"/>
      <c r="E49" s="70"/>
      <c r="F49" s="70"/>
      <c r="G49" s="70"/>
      <c r="H49" s="70"/>
      <c r="I49" s="70"/>
      <c r="J49" s="70"/>
      <c r="K49" s="70"/>
      <c r="L49" s="70"/>
      <c r="M49" s="70"/>
      <c r="N49" s="70"/>
      <c r="O49" s="70"/>
      <c r="P49" s="70"/>
      <c r="Q49" s="70"/>
      <c r="R49" s="70"/>
    </row>
    <row r="50" spans="1:18">
      <c r="A50" s="107" t="s">
        <v>7</v>
      </c>
      <c r="B50" t="s">
        <v>1654</v>
      </c>
      <c r="C50" s="72"/>
    </row>
    <row r="51" spans="1:18">
      <c r="A51" s="107" t="s">
        <v>9</v>
      </c>
      <c r="B51" t="s">
        <v>1769</v>
      </c>
      <c r="C51" s="72"/>
    </row>
    <row r="52" spans="1:18" ht="10.5" customHeight="1">
      <c r="A52" s="107" t="s">
        <v>11</v>
      </c>
      <c r="B52" s="73" t="s">
        <v>796</v>
      </c>
    </row>
    <row r="53" spans="1:18">
      <c r="A53" s="107" t="s">
        <v>13</v>
      </c>
      <c r="B53" t="s">
        <v>14</v>
      </c>
    </row>
    <row r="54" spans="1:18">
      <c r="A54" s="107" t="s">
        <v>15</v>
      </c>
      <c r="B54" s="124">
        <f>B59</f>
        <v>1.4999999999999999E-2</v>
      </c>
    </row>
    <row r="55" spans="1:18">
      <c r="A55" s="107" t="s">
        <v>16</v>
      </c>
      <c r="B55" t="s">
        <v>17</v>
      </c>
    </row>
    <row r="56" spans="1:18">
      <c r="A56" s="107" t="s">
        <v>18</v>
      </c>
      <c r="B56" t="s">
        <v>37</v>
      </c>
    </row>
    <row r="57" spans="1:18" ht="15.6">
      <c r="A57" s="108" t="s">
        <v>19</v>
      </c>
    </row>
    <row r="58" spans="1:18" ht="15.6">
      <c r="A58" s="108"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6">
      <c r="A59" s="22" t="s">
        <v>1768</v>
      </c>
      <c r="B59" s="124">
        <v>1.4999999999999999E-2</v>
      </c>
      <c r="C59" t="s">
        <v>37</v>
      </c>
      <c r="D59" s="109" t="s">
        <v>1754</v>
      </c>
      <c r="E59" t="s">
        <v>29</v>
      </c>
      <c r="F59" s="74" t="s">
        <v>14</v>
      </c>
      <c r="G59" t="s">
        <v>30</v>
      </c>
      <c r="H59">
        <v>1</v>
      </c>
      <c r="I59" s="124">
        <f>B59</f>
        <v>1.4999999999999999E-2</v>
      </c>
      <c r="J59" t="s">
        <v>31</v>
      </c>
      <c r="K59" t="s">
        <v>31</v>
      </c>
      <c r="L59" t="s">
        <v>31</v>
      </c>
      <c r="M59" t="s">
        <v>31</v>
      </c>
      <c r="O59" s="59"/>
      <c r="P59" s="120"/>
    </row>
    <row r="60" spans="1:18" ht="15.6">
      <c r="A60" s="112" t="s">
        <v>874</v>
      </c>
      <c r="B60" s="122">
        <f>R60</f>
        <v>1.6E-2</v>
      </c>
      <c r="C60" t="s">
        <v>37</v>
      </c>
      <c r="D60" s="17" t="s">
        <v>221</v>
      </c>
      <c r="E60" t="s">
        <v>29</v>
      </c>
      <c r="F60" s="74" t="s">
        <v>59</v>
      </c>
      <c r="G60" t="s">
        <v>33</v>
      </c>
      <c r="H60">
        <v>2</v>
      </c>
      <c r="I60">
        <f>LN(B60)</f>
        <v>-4.1351665567423561</v>
      </c>
      <c r="J60">
        <v>7.2284161474004766E-2</v>
      </c>
      <c r="K60" t="s">
        <v>31</v>
      </c>
      <c r="L60" t="s">
        <v>31</v>
      </c>
      <c r="M60" t="s">
        <v>31</v>
      </c>
      <c r="O60" s="101" t="s">
        <v>580</v>
      </c>
      <c r="P60" s="138">
        <v>16</v>
      </c>
      <c r="Q60" t="s">
        <v>241</v>
      </c>
      <c r="R60">
        <f>P60*0.001</f>
        <v>1.6E-2</v>
      </c>
    </row>
    <row r="61" spans="1:18" ht="15.6">
      <c r="A61" s="121" t="s">
        <v>38</v>
      </c>
      <c r="B61" s="122">
        <f>P61</f>
        <v>7.0000000000000007E-2</v>
      </c>
      <c r="C61" t="s">
        <v>39</v>
      </c>
      <c r="D61" s="17" t="s">
        <v>221</v>
      </c>
      <c r="E61" t="s">
        <v>29</v>
      </c>
      <c r="F61" s="74" t="s">
        <v>35</v>
      </c>
      <c r="G61" t="s">
        <v>33</v>
      </c>
      <c r="H61">
        <v>2</v>
      </c>
      <c r="I61">
        <f t="shared" ref="I61:I62" si="5">LN(B61)</f>
        <v>-2.6592600369327779</v>
      </c>
      <c r="J61">
        <v>7.2284161474004766E-2</v>
      </c>
      <c r="K61" t="s">
        <v>31</v>
      </c>
      <c r="L61" t="s">
        <v>31</v>
      </c>
      <c r="M61" t="s">
        <v>31</v>
      </c>
      <c r="O61" s="101" t="s">
        <v>248</v>
      </c>
      <c r="P61" s="138">
        <v>7.0000000000000007E-2</v>
      </c>
    </row>
    <row r="62" spans="1:18" ht="15.6">
      <c r="A62" s="125" t="s">
        <v>1659</v>
      </c>
      <c r="B62">
        <v>1.4999999999999999E-2</v>
      </c>
      <c r="C62" t="s">
        <v>37</v>
      </c>
      <c r="D62" s="109" t="s">
        <v>1754</v>
      </c>
      <c r="E62" t="s">
        <v>29</v>
      </c>
      <c r="F62" s="74" t="s">
        <v>74</v>
      </c>
      <c r="G62" t="s">
        <v>33</v>
      </c>
      <c r="H62">
        <v>2</v>
      </c>
      <c r="I62">
        <f t="shared" si="5"/>
        <v>-4.1997050778799272</v>
      </c>
      <c r="J62">
        <v>7.2284161474004766E-2</v>
      </c>
      <c r="K62" t="s">
        <v>31</v>
      </c>
      <c r="L62" t="s">
        <v>31</v>
      </c>
      <c r="M62" t="s">
        <v>31</v>
      </c>
    </row>
    <row r="63" spans="1:18" ht="15.6">
      <c r="A63" s="105" t="s">
        <v>5</v>
      </c>
      <c r="B63" s="123" t="s">
        <v>1767</v>
      </c>
      <c r="C63" s="69"/>
      <c r="D63" s="70"/>
      <c r="E63" s="70"/>
      <c r="F63" s="70"/>
      <c r="G63" s="70"/>
      <c r="H63" s="70"/>
      <c r="I63" s="70"/>
      <c r="J63" s="70"/>
      <c r="K63" s="70"/>
      <c r="L63" s="70"/>
      <c r="M63" s="70"/>
      <c r="N63" s="70"/>
      <c r="O63" s="70"/>
      <c r="P63" s="70"/>
      <c r="Q63" s="70"/>
      <c r="R63" s="70"/>
    </row>
    <row r="64" spans="1:18">
      <c r="A64" s="107" t="s">
        <v>7</v>
      </c>
      <c r="B64" t="s">
        <v>1654</v>
      </c>
      <c r="C64" s="72"/>
      <c r="O64" s="176" t="s">
        <v>1770</v>
      </c>
    </row>
    <row r="65" spans="1:16">
      <c r="A65" s="107" t="s">
        <v>9</v>
      </c>
      <c r="B65" t="s">
        <v>1771</v>
      </c>
      <c r="C65" s="72"/>
    </row>
    <row r="66" spans="1:16" ht="10.5" customHeight="1">
      <c r="A66" s="107" t="s">
        <v>11</v>
      </c>
      <c r="B66" s="73" t="s">
        <v>796</v>
      </c>
    </row>
    <row r="67" spans="1:16">
      <c r="A67" s="107" t="s">
        <v>13</v>
      </c>
      <c r="B67" t="s">
        <v>14</v>
      </c>
    </row>
    <row r="68" spans="1:16">
      <c r="A68" s="107" t="s">
        <v>15</v>
      </c>
      <c r="B68" s="23">
        <f>B73</f>
        <v>0.28000000000000003</v>
      </c>
    </row>
    <row r="69" spans="1:16">
      <c r="A69" s="107" t="s">
        <v>16</v>
      </c>
      <c r="B69" t="s">
        <v>17</v>
      </c>
    </row>
    <row r="70" spans="1:16">
      <c r="A70" s="107" t="s">
        <v>18</v>
      </c>
      <c r="B70" t="s">
        <v>37</v>
      </c>
    </row>
    <row r="71" spans="1:16" ht="15.6">
      <c r="A71" s="108" t="s">
        <v>19</v>
      </c>
    </row>
    <row r="72" spans="1:16" ht="15.6">
      <c r="A72" s="108" t="s">
        <v>20</v>
      </c>
      <c r="B72" s="16" t="s">
        <v>21</v>
      </c>
      <c r="C72" s="16" t="s">
        <v>18</v>
      </c>
      <c r="D72" s="16" t="s">
        <v>22</v>
      </c>
      <c r="E72" s="16" t="s">
        <v>7</v>
      </c>
      <c r="F72" s="16" t="s">
        <v>13</v>
      </c>
      <c r="G72" s="16" t="s">
        <v>16</v>
      </c>
      <c r="H72" s="16" t="s">
        <v>23</v>
      </c>
      <c r="I72" s="16" t="s">
        <v>24</v>
      </c>
      <c r="J72" s="16" t="s">
        <v>25</v>
      </c>
      <c r="K72" s="16" t="s">
        <v>26</v>
      </c>
      <c r="L72" s="16" t="s">
        <v>27</v>
      </c>
      <c r="M72" s="16" t="s">
        <v>28</v>
      </c>
      <c r="N72" s="16" t="s">
        <v>11</v>
      </c>
    </row>
    <row r="73" spans="1:16" ht="15.6">
      <c r="A73" s="22" t="s">
        <v>1767</v>
      </c>
      <c r="B73" s="23">
        <v>0.28000000000000003</v>
      </c>
      <c r="C73" t="s">
        <v>37</v>
      </c>
      <c r="D73" s="109" t="s">
        <v>1754</v>
      </c>
      <c r="E73" t="s">
        <v>29</v>
      </c>
      <c r="F73" s="74" t="s">
        <v>14</v>
      </c>
      <c r="G73" t="s">
        <v>30</v>
      </c>
      <c r="H73">
        <v>1</v>
      </c>
      <c r="I73" s="23">
        <f>B73</f>
        <v>0.28000000000000003</v>
      </c>
      <c r="J73" t="s">
        <v>31</v>
      </c>
      <c r="K73" t="s">
        <v>31</v>
      </c>
      <c r="L73" t="s">
        <v>31</v>
      </c>
      <c r="M73" t="s">
        <v>31</v>
      </c>
      <c r="O73" s="59"/>
      <c r="P73" s="120"/>
    </row>
    <row r="74" spans="1:16" ht="15.6">
      <c r="A74" s="112" t="s">
        <v>703</v>
      </c>
      <c r="B74" s="122">
        <v>0.28000000000000003</v>
      </c>
      <c r="C74" t="s">
        <v>37</v>
      </c>
      <c r="D74" s="17" t="s">
        <v>221</v>
      </c>
      <c r="E74" t="s">
        <v>29</v>
      </c>
      <c r="F74" s="74" t="s">
        <v>59</v>
      </c>
      <c r="G74" t="s">
        <v>33</v>
      </c>
      <c r="H74">
        <v>1</v>
      </c>
      <c r="I74" s="23">
        <f t="shared" ref="I74:I75" si="6">B74</f>
        <v>0.28000000000000003</v>
      </c>
      <c r="J74" t="s">
        <v>31</v>
      </c>
      <c r="K74" t="s">
        <v>31</v>
      </c>
      <c r="L74" t="s">
        <v>31</v>
      </c>
      <c r="M74" t="s">
        <v>31</v>
      </c>
      <c r="O74" s="59"/>
      <c r="P74" s="120"/>
    </row>
    <row r="75" spans="1:16" ht="15.6">
      <c r="A75" s="112" t="s">
        <v>876</v>
      </c>
      <c r="B75" s="122">
        <f>B74</f>
        <v>0.28000000000000003</v>
      </c>
      <c r="C75" t="s">
        <v>37</v>
      </c>
      <c r="D75" s="17" t="s">
        <v>221</v>
      </c>
      <c r="E75" t="s">
        <v>29</v>
      </c>
      <c r="F75" s="74" t="s">
        <v>59</v>
      </c>
      <c r="G75" t="s">
        <v>33</v>
      </c>
      <c r="H75">
        <v>1</v>
      </c>
      <c r="I75" s="23">
        <f t="shared" si="6"/>
        <v>0.28000000000000003</v>
      </c>
      <c r="J75" t="s">
        <v>31</v>
      </c>
      <c r="K75" t="s">
        <v>31</v>
      </c>
      <c r="L75" t="s">
        <v>31</v>
      </c>
      <c r="M75" t="s">
        <v>31</v>
      </c>
      <c r="O75" s="59"/>
      <c r="P75" s="120"/>
    </row>
    <row r="76" spans="1:16" s="70" customFormat="1" ht="15.6">
      <c r="A76" s="67" t="s">
        <v>5</v>
      </c>
      <c r="B76" s="123" t="s">
        <v>1772</v>
      </c>
      <c r="C76" s="69"/>
    </row>
    <row r="77" spans="1:16">
      <c r="A77" s="71" t="s">
        <v>7</v>
      </c>
      <c r="B77" t="s">
        <v>1654</v>
      </c>
      <c r="C77" s="72"/>
    </row>
    <row r="78" spans="1:16">
      <c r="A78" s="126" t="s">
        <v>9</v>
      </c>
      <c r="B78" t="s">
        <v>1773</v>
      </c>
      <c r="C78" s="72"/>
    </row>
    <row r="79" spans="1:16" ht="15.75" customHeight="1">
      <c r="A79" s="71" t="s">
        <v>11</v>
      </c>
      <c r="B79" s="73" t="s">
        <v>796</v>
      </c>
      <c r="O79" s="176" t="s">
        <v>1770</v>
      </c>
    </row>
    <row r="80" spans="1:16">
      <c r="A80" s="71" t="s">
        <v>13</v>
      </c>
      <c r="B80" t="s">
        <v>14</v>
      </c>
    </row>
    <row r="81" spans="1:19">
      <c r="A81" s="71" t="s">
        <v>15</v>
      </c>
      <c r="B81" s="127">
        <f>B86</f>
        <v>3.54</v>
      </c>
    </row>
    <row r="82" spans="1:19">
      <c r="A82" s="71" t="s">
        <v>16</v>
      </c>
      <c r="B82" t="s">
        <v>17</v>
      </c>
    </row>
    <row r="83" spans="1:19">
      <c r="A83" s="71" t="s">
        <v>18</v>
      </c>
      <c r="B83" t="s">
        <v>37</v>
      </c>
      <c r="S83" s="115"/>
    </row>
    <row r="84" spans="1:19" ht="15.6">
      <c r="A84" s="75" t="s">
        <v>19</v>
      </c>
    </row>
    <row r="85" spans="1:19" ht="15.6">
      <c r="A85" s="16" t="s">
        <v>20</v>
      </c>
      <c r="B85" s="16" t="s">
        <v>21</v>
      </c>
      <c r="C85" s="16" t="s">
        <v>18</v>
      </c>
      <c r="D85" s="16" t="s">
        <v>22</v>
      </c>
      <c r="E85" s="16" t="s">
        <v>7</v>
      </c>
      <c r="F85" s="16" t="s">
        <v>13</v>
      </c>
      <c r="G85" s="16" t="s">
        <v>16</v>
      </c>
      <c r="H85" s="16" t="s">
        <v>23</v>
      </c>
      <c r="I85" s="16" t="s">
        <v>24</v>
      </c>
      <c r="J85" s="16" t="s">
        <v>25</v>
      </c>
      <c r="K85" s="16" t="s">
        <v>26</v>
      </c>
      <c r="L85" s="16" t="s">
        <v>27</v>
      </c>
      <c r="M85" s="16" t="s">
        <v>28</v>
      </c>
      <c r="N85" s="16" t="s">
        <v>11</v>
      </c>
    </row>
    <row r="86" spans="1:19" ht="15.6">
      <c r="A86" t="s">
        <v>1772</v>
      </c>
      <c r="B86" s="23">
        <v>3.54</v>
      </c>
      <c r="C86" t="s">
        <v>37</v>
      </c>
      <c r="D86" s="109" t="s">
        <v>1754</v>
      </c>
      <c r="E86" t="s">
        <v>29</v>
      </c>
      <c r="F86" t="s">
        <v>14</v>
      </c>
      <c r="G86" t="s">
        <v>879</v>
      </c>
      <c r="H86">
        <v>1</v>
      </c>
      <c r="I86" s="23">
        <f>B86</f>
        <v>3.54</v>
      </c>
      <c r="J86" t="s">
        <v>31</v>
      </c>
      <c r="K86" t="s">
        <v>31</v>
      </c>
      <c r="L86" t="s">
        <v>31</v>
      </c>
      <c r="M86" t="s">
        <v>31</v>
      </c>
      <c r="O86" s="128"/>
      <c r="P86" s="129"/>
    </row>
    <row r="87" spans="1:19" ht="15.6">
      <c r="A87" s="88" t="s">
        <v>653</v>
      </c>
      <c r="B87" s="23">
        <v>3.54</v>
      </c>
      <c r="C87" t="s">
        <v>37</v>
      </c>
      <c r="D87" s="17" t="s">
        <v>221</v>
      </c>
      <c r="E87" t="s">
        <v>29</v>
      </c>
      <c r="F87" s="74" t="s">
        <v>59</v>
      </c>
      <c r="G87" t="s">
        <v>33</v>
      </c>
      <c r="H87">
        <v>1</v>
      </c>
      <c r="I87" s="23">
        <f t="shared" ref="I87:I89" si="7">B87</f>
        <v>3.54</v>
      </c>
      <c r="J87" t="s">
        <v>31</v>
      </c>
      <c r="K87" t="s">
        <v>31</v>
      </c>
      <c r="L87" t="s">
        <v>31</v>
      </c>
      <c r="M87" t="s">
        <v>31</v>
      </c>
      <c r="O87" s="101"/>
      <c r="P87" s="114"/>
    </row>
    <row r="88" spans="1:19" ht="15.6">
      <c r="A88" s="88" t="s">
        <v>624</v>
      </c>
      <c r="B88" s="23">
        <v>3.54</v>
      </c>
      <c r="C88" t="s">
        <v>37</v>
      </c>
      <c r="D88" s="17" t="s">
        <v>221</v>
      </c>
      <c r="E88" t="s">
        <v>29</v>
      </c>
      <c r="F88" s="74" t="s">
        <v>59</v>
      </c>
      <c r="G88" t="s">
        <v>33</v>
      </c>
      <c r="H88">
        <v>1</v>
      </c>
      <c r="I88" s="23">
        <f t="shared" si="7"/>
        <v>3.54</v>
      </c>
      <c r="J88" t="s">
        <v>31</v>
      </c>
      <c r="K88" t="s">
        <v>31</v>
      </c>
      <c r="L88" t="s">
        <v>31</v>
      </c>
      <c r="M88" t="s">
        <v>31</v>
      </c>
      <c r="O88" s="101"/>
      <c r="P88" s="114"/>
    </row>
    <row r="89" spans="1:19" ht="15.6">
      <c r="A89" s="88" t="s">
        <v>880</v>
      </c>
      <c r="B89" s="23">
        <v>3.54</v>
      </c>
      <c r="C89" t="s">
        <v>37</v>
      </c>
      <c r="D89" s="17" t="s">
        <v>221</v>
      </c>
      <c r="E89" t="s">
        <v>29</v>
      </c>
      <c r="F89" s="74" t="s">
        <v>35</v>
      </c>
      <c r="G89" t="s">
        <v>33</v>
      </c>
      <c r="H89">
        <v>1</v>
      </c>
      <c r="I89" s="23">
        <f t="shared" si="7"/>
        <v>3.54</v>
      </c>
      <c r="J89" t="s">
        <v>31</v>
      </c>
      <c r="K89" t="s">
        <v>31</v>
      </c>
      <c r="L89" t="s">
        <v>31</v>
      </c>
      <c r="M89" t="s">
        <v>31</v>
      </c>
      <c r="O89" s="101"/>
      <c r="P89" s="114"/>
    </row>
    <row r="90" spans="1:19" ht="15.6">
      <c r="A90" s="67" t="s">
        <v>5</v>
      </c>
      <c r="B90" s="123" t="s">
        <v>1758</v>
      </c>
      <c r="C90" s="69"/>
      <c r="D90" s="70"/>
      <c r="E90" s="70"/>
      <c r="F90" s="70"/>
      <c r="G90" s="70"/>
      <c r="H90" s="70"/>
      <c r="I90" s="70"/>
      <c r="J90" s="70"/>
      <c r="K90" s="70"/>
      <c r="L90" s="70"/>
      <c r="M90" s="70"/>
    </row>
    <row r="91" spans="1:19">
      <c r="A91" s="71" t="s">
        <v>7</v>
      </c>
      <c r="B91" t="s">
        <v>1654</v>
      </c>
      <c r="C91" s="72"/>
    </row>
    <row r="92" spans="1:19">
      <c r="A92" s="71" t="s">
        <v>9</v>
      </c>
      <c r="B92" s="22" t="s">
        <v>1774</v>
      </c>
      <c r="C92" s="72"/>
    </row>
    <row r="93" spans="1:19">
      <c r="A93" s="71" t="s">
        <v>11</v>
      </c>
      <c r="B93" s="73" t="s">
        <v>788</v>
      </c>
    </row>
    <row r="94" spans="1:19">
      <c r="A94" s="71" t="s">
        <v>13</v>
      </c>
      <c r="B94" s="74" t="s">
        <v>14</v>
      </c>
      <c r="O94" s="176" t="s">
        <v>1775</v>
      </c>
    </row>
    <row r="95" spans="1:19">
      <c r="A95" s="71" t="s">
        <v>15</v>
      </c>
      <c r="B95">
        <v>0.25</v>
      </c>
    </row>
    <row r="96" spans="1:19">
      <c r="A96" s="71" t="s">
        <v>16</v>
      </c>
      <c r="B96" t="s">
        <v>17</v>
      </c>
    </row>
    <row r="97" spans="1:14">
      <c r="A97" s="71" t="s">
        <v>18</v>
      </c>
      <c r="B97" t="s">
        <v>37</v>
      </c>
    </row>
    <row r="98" spans="1:14" ht="15.6">
      <c r="A98" s="75" t="s">
        <v>19</v>
      </c>
    </row>
    <row r="99" spans="1:14" ht="15.6">
      <c r="A99" s="75" t="s">
        <v>20</v>
      </c>
      <c r="B99" s="16" t="s">
        <v>21</v>
      </c>
      <c r="C99" s="16" t="s">
        <v>18</v>
      </c>
      <c r="D99" s="16" t="s">
        <v>22</v>
      </c>
      <c r="E99" s="16" t="s">
        <v>7</v>
      </c>
      <c r="F99" s="16" t="s">
        <v>13</v>
      </c>
      <c r="G99" s="16" t="s">
        <v>16</v>
      </c>
      <c r="H99" s="16" t="s">
        <v>23</v>
      </c>
      <c r="I99" s="16" t="s">
        <v>24</v>
      </c>
      <c r="J99" s="16" t="s">
        <v>25</v>
      </c>
      <c r="K99" s="16" t="s">
        <v>26</v>
      </c>
      <c r="L99" s="16" t="s">
        <v>27</v>
      </c>
      <c r="M99" s="16" t="s">
        <v>28</v>
      </c>
      <c r="N99" s="16" t="s">
        <v>11</v>
      </c>
    </row>
    <row r="100" spans="1:14" ht="15.6">
      <c r="A100" s="59" t="s">
        <v>1758</v>
      </c>
      <c r="B100" s="59">
        <v>0.25</v>
      </c>
      <c r="C100" t="s">
        <v>37</v>
      </c>
      <c r="D100" s="17" t="s">
        <v>1754</v>
      </c>
      <c r="E100" t="s">
        <v>29</v>
      </c>
      <c r="F100" s="74" t="s">
        <v>14</v>
      </c>
      <c r="G100" t="s">
        <v>30</v>
      </c>
      <c r="H100">
        <v>1</v>
      </c>
      <c r="I100">
        <f>B100</f>
        <v>0.25</v>
      </c>
      <c r="J100" t="s">
        <v>31</v>
      </c>
      <c r="K100" t="s">
        <v>31</v>
      </c>
      <c r="L100" t="s">
        <v>31</v>
      </c>
      <c r="M100" t="s">
        <v>31</v>
      </c>
    </row>
    <row r="101" spans="1:14" ht="15.6">
      <c r="A101" s="59" t="s">
        <v>1772</v>
      </c>
      <c r="B101" s="59">
        <v>0.25</v>
      </c>
      <c r="C101" t="s">
        <v>37</v>
      </c>
      <c r="D101" s="17" t="s">
        <v>1754</v>
      </c>
      <c r="E101" t="s">
        <v>29</v>
      </c>
      <c r="F101" s="74" t="s">
        <v>14</v>
      </c>
      <c r="G101" t="s">
        <v>33</v>
      </c>
      <c r="H101">
        <v>1</v>
      </c>
      <c r="I101">
        <f>B101</f>
        <v>0.25</v>
      </c>
      <c r="J101" t="s">
        <v>31</v>
      </c>
      <c r="K101" t="s">
        <v>31</v>
      </c>
      <c r="L101" t="s">
        <v>31</v>
      </c>
      <c r="M101" t="s">
        <v>31</v>
      </c>
    </row>
    <row r="102" spans="1:14" ht="15.6">
      <c r="A102" s="130" t="s">
        <v>882</v>
      </c>
      <c r="B102">
        <v>0.02</v>
      </c>
      <c r="C102" t="s">
        <v>37</v>
      </c>
      <c r="D102" s="17" t="s">
        <v>221</v>
      </c>
      <c r="E102" t="s">
        <v>29</v>
      </c>
      <c r="F102" s="74" t="s">
        <v>82</v>
      </c>
      <c r="G102" t="s">
        <v>33</v>
      </c>
      <c r="H102">
        <v>1</v>
      </c>
      <c r="I102">
        <f t="shared" ref="I102:I104" si="8">B102</f>
        <v>0.02</v>
      </c>
      <c r="J102" t="s">
        <v>31</v>
      </c>
      <c r="K102" t="s">
        <v>31</v>
      </c>
      <c r="L102" t="s">
        <v>31</v>
      </c>
      <c r="M102" t="s">
        <v>31</v>
      </c>
    </row>
    <row r="103" spans="1:14" ht="15.6">
      <c r="A103" s="130" t="s">
        <v>883</v>
      </c>
      <c r="B103">
        <v>0.47</v>
      </c>
      <c r="C103" t="s">
        <v>609</v>
      </c>
      <c r="D103" s="17" t="s">
        <v>221</v>
      </c>
      <c r="E103" t="s">
        <v>29</v>
      </c>
      <c r="F103" s="74" t="s">
        <v>59</v>
      </c>
      <c r="G103" t="s">
        <v>33</v>
      </c>
      <c r="H103">
        <v>1</v>
      </c>
      <c r="I103">
        <f t="shared" si="8"/>
        <v>0.47</v>
      </c>
      <c r="J103" t="s">
        <v>31</v>
      </c>
      <c r="K103" t="s">
        <v>31</v>
      </c>
      <c r="L103" t="s">
        <v>31</v>
      </c>
      <c r="M103" t="s">
        <v>31</v>
      </c>
    </row>
    <row r="104" spans="1:14" ht="15.6">
      <c r="A104" s="130" t="s">
        <v>599</v>
      </c>
      <c r="B104">
        <v>0.02</v>
      </c>
      <c r="C104" t="s">
        <v>37</v>
      </c>
      <c r="D104" s="17" t="s">
        <v>221</v>
      </c>
      <c r="E104" t="s">
        <v>29</v>
      </c>
      <c r="F104" s="74" t="s">
        <v>59</v>
      </c>
      <c r="G104" t="s">
        <v>33</v>
      </c>
      <c r="H104">
        <v>1</v>
      </c>
      <c r="I104">
        <f t="shared" si="8"/>
        <v>0.02</v>
      </c>
      <c r="J104" t="s">
        <v>31</v>
      </c>
      <c r="K104" t="s">
        <v>31</v>
      </c>
      <c r="L104" t="s">
        <v>31</v>
      </c>
      <c r="M104" t="s">
        <v>31</v>
      </c>
    </row>
  </sheetData>
  <pageMargins left="0.7" right="0.7" top="0.75" bottom="0.75" header="0.3" footer="0.3"/>
  <pageSetup paperSize="9" orientation="portrai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705E1-A6EC-40A6-BB05-5CB1B7022314}">
  <sheetPr>
    <tabColor theme="8" tint="0.79998168889431442"/>
  </sheetPr>
  <dimension ref="A1:V47"/>
  <sheetViews>
    <sheetView topLeftCell="A12" zoomScale="85" zoomScaleNormal="85" workbookViewId="0">
      <selection activeCell="B5" sqref="B5"/>
    </sheetView>
  </sheetViews>
  <sheetFormatPr defaultRowHeight="14.4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70" customFormat="1" ht="15.6">
      <c r="A2" s="67" t="s">
        <v>5</v>
      </c>
      <c r="B2" s="123" t="s">
        <v>1757</v>
      </c>
    </row>
    <row r="3" spans="1:22">
      <c r="A3" s="71" t="s">
        <v>7</v>
      </c>
      <c r="B3" t="s">
        <v>1654</v>
      </c>
      <c r="C3" s="72"/>
    </row>
    <row r="4" spans="1:22">
      <c r="A4" s="126" t="s">
        <v>9</v>
      </c>
      <c r="B4" t="s">
        <v>1776</v>
      </c>
      <c r="C4" s="72"/>
    </row>
    <row r="5" spans="1:22" ht="15.75" customHeight="1">
      <c r="A5" s="71" t="s">
        <v>11</v>
      </c>
      <c r="B5" s="73" t="s">
        <v>796</v>
      </c>
    </row>
    <row r="6" spans="1:22">
      <c r="A6" s="71" t="s">
        <v>13</v>
      </c>
      <c r="B6" t="s">
        <v>14</v>
      </c>
    </row>
    <row r="7" spans="1:22">
      <c r="A7" s="71" t="s">
        <v>15</v>
      </c>
      <c r="B7" s="115">
        <f>B12</f>
        <v>0.03</v>
      </c>
    </row>
    <row r="8" spans="1:22">
      <c r="A8" s="71" t="s">
        <v>16</v>
      </c>
      <c r="B8" t="s">
        <v>17</v>
      </c>
    </row>
    <row r="9" spans="1:22">
      <c r="A9" s="71" t="s">
        <v>18</v>
      </c>
      <c r="B9" t="s">
        <v>37</v>
      </c>
      <c r="S9" s="131" t="s">
        <v>885</v>
      </c>
    </row>
    <row r="10" spans="1:22" ht="15.6">
      <c r="A10" s="75" t="s">
        <v>19</v>
      </c>
      <c r="S10" t="s">
        <v>886</v>
      </c>
      <c r="T10">
        <v>8900</v>
      </c>
      <c r="U10" t="s">
        <v>887</v>
      </c>
    </row>
    <row r="11" spans="1:22" ht="15.6">
      <c r="A11" s="16"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c r="S11" t="s">
        <v>888</v>
      </c>
      <c r="T11">
        <f>5*10^-6</f>
        <v>4.9999999999999996E-6</v>
      </c>
      <c r="U11" t="s">
        <v>889</v>
      </c>
    </row>
    <row r="12" spans="1:22" ht="15.6">
      <c r="A12" t="s">
        <v>1757</v>
      </c>
      <c r="B12" s="132">
        <v>0.03</v>
      </c>
      <c r="C12" t="s">
        <v>37</v>
      </c>
      <c r="D12" s="109" t="s">
        <v>1754</v>
      </c>
      <c r="E12" t="s">
        <v>29</v>
      </c>
      <c r="F12" t="s">
        <v>14</v>
      </c>
      <c r="G12" t="s">
        <v>30</v>
      </c>
      <c r="H12">
        <v>1</v>
      </c>
      <c r="I12">
        <v>1</v>
      </c>
      <c r="J12" t="s">
        <v>31</v>
      </c>
      <c r="K12" t="s">
        <v>31</v>
      </c>
      <c r="L12" t="s">
        <v>31</v>
      </c>
      <c r="M12" t="s">
        <v>31</v>
      </c>
      <c r="O12" s="84" t="s">
        <v>1237</v>
      </c>
      <c r="P12" s="133"/>
      <c r="Q12" t="s">
        <v>231</v>
      </c>
      <c r="S12" s="134" t="s">
        <v>890</v>
      </c>
      <c r="T12" s="135">
        <v>0.46</v>
      </c>
      <c r="U12" s="136" t="s">
        <v>891</v>
      </c>
    </row>
    <row r="13" spans="1:22" ht="15.6">
      <c r="A13" t="s">
        <v>1777</v>
      </c>
      <c r="B13" s="132">
        <f>B28</f>
        <v>0.03</v>
      </c>
      <c r="C13" t="s">
        <v>609</v>
      </c>
      <c r="D13" s="109" t="s">
        <v>1754</v>
      </c>
      <c r="E13" t="s">
        <v>29</v>
      </c>
      <c r="F13" t="s">
        <v>14</v>
      </c>
      <c r="G13" t="s">
        <v>33</v>
      </c>
      <c r="H13">
        <v>1</v>
      </c>
      <c r="I13" s="115">
        <f>B13</f>
        <v>0.03</v>
      </c>
      <c r="J13">
        <v>7.2284161474004793E-2</v>
      </c>
      <c r="K13" t="s">
        <v>31</v>
      </c>
      <c r="L13" t="s">
        <v>31</v>
      </c>
      <c r="M13" t="s">
        <v>31</v>
      </c>
      <c r="O13" s="101" t="s">
        <v>892</v>
      </c>
      <c r="P13" s="137">
        <f>B13*100</f>
        <v>3</v>
      </c>
    </row>
    <row r="14" spans="1:22" ht="15.6">
      <c r="A14" s="59" t="s">
        <v>1768</v>
      </c>
      <c r="B14" s="124">
        <f>U15</f>
        <v>0.31740000000000002</v>
      </c>
      <c r="C14" t="s">
        <v>37</v>
      </c>
      <c r="D14" s="109" t="s">
        <v>1754</v>
      </c>
      <c r="E14" t="s">
        <v>29</v>
      </c>
      <c r="F14" s="74" t="s">
        <v>14</v>
      </c>
      <c r="G14" t="s">
        <v>33</v>
      </c>
      <c r="H14">
        <v>1</v>
      </c>
      <c r="I14" s="115">
        <f>B14</f>
        <v>0.31740000000000002</v>
      </c>
      <c r="J14">
        <v>7.2284161474004766E-2</v>
      </c>
      <c r="K14" t="s">
        <v>31</v>
      </c>
      <c r="L14" t="s">
        <v>31</v>
      </c>
      <c r="M14" t="s">
        <v>31</v>
      </c>
      <c r="O14" s="128"/>
      <c r="P14" s="129"/>
      <c r="S14" t="s">
        <v>554</v>
      </c>
      <c r="V14" s="111"/>
    </row>
    <row r="15" spans="1:22" ht="15.6">
      <c r="A15" s="76" t="s">
        <v>799</v>
      </c>
      <c r="B15">
        <f>Q15</f>
        <v>5.5</v>
      </c>
      <c r="C15" t="s">
        <v>37</v>
      </c>
      <c r="D15" s="17" t="s">
        <v>221</v>
      </c>
      <c r="E15" t="s">
        <v>29</v>
      </c>
      <c r="F15" s="74" t="s">
        <v>74</v>
      </c>
      <c r="G15" t="s">
        <v>33</v>
      </c>
      <c r="H15">
        <v>2</v>
      </c>
      <c r="I15">
        <f t="shared" ref="I15" si="0">LN(B15)</f>
        <v>1.7047480922384253</v>
      </c>
      <c r="J15">
        <v>7.2284161474004766E-2</v>
      </c>
      <c r="K15" t="s">
        <v>31</v>
      </c>
      <c r="L15" t="s">
        <v>31</v>
      </c>
      <c r="M15" t="s">
        <v>31</v>
      </c>
      <c r="O15" s="101" t="s">
        <v>241</v>
      </c>
      <c r="P15" s="114">
        <v>5.5</v>
      </c>
      <c r="Q15">
        <f>P15</f>
        <v>5.5</v>
      </c>
      <c r="S15" s="139">
        <v>0.69</v>
      </c>
      <c r="T15" s="140" t="s">
        <v>610</v>
      </c>
      <c r="U15" s="139">
        <f>S15*T12</f>
        <v>0.31740000000000002</v>
      </c>
      <c r="V15" s="140" t="s">
        <v>241</v>
      </c>
    </row>
    <row r="16" spans="1:22" ht="15.6">
      <c r="A16" s="88" t="s">
        <v>874</v>
      </c>
      <c r="B16">
        <f>Q16</f>
        <v>2.9999999999999999E-7</v>
      </c>
      <c r="C16" t="s">
        <v>37</v>
      </c>
      <c r="D16" s="17" t="s">
        <v>221</v>
      </c>
      <c r="E16" t="s">
        <v>29</v>
      </c>
      <c r="F16" s="74" t="s">
        <v>59</v>
      </c>
      <c r="G16" t="s">
        <v>33</v>
      </c>
      <c r="H16">
        <v>2</v>
      </c>
      <c r="I16">
        <f>LN(B16)</f>
        <v>-15.01948336229021</v>
      </c>
      <c r="J16">
        <v>7.2284161474004766E-2</v>
      </c>
      <c r="K16" t="s">
        <v>31</v>
      </c>
      <c r="L16" t="s">
        <v>31</v>
      </c>
      <c r="M16" t="s">
        <v>31</v>
      </c>
      <c r="O16" s="116" t="s">
        <v>538</v>
      </c>
      <c r="P16" s="150">
        <v>0.3</v>
      </c>
      <c r="Q16">
        <f>0.000001*P16</f>
        <v>2.9999999999999999E-7</v>
      </c>
    </row>
    <row r="17" spans="1:20" ht="15.6">
      <c r="A17" s="88" t="s">
        <v>76</v>
      </c>
      <c r="B17">
        <f t="shared" ref="B17" si="1">Q17</f>
        <v>5.4999999999999997E-3</v>
      </c>
      <c r="C17" t="s">
        <v>42</v>
      </c>
      <c r="D17" s="17" t="s">
        <v>221</v>
      </c>
      <c r="E17" t="s">
        <v>29</v>
      </c>
      <c r="F17" s="74" t="s">
        <v>74</v>
      </c>
      <c r="G17" t="s">
        <v>33</v>
      </c>
      <c r="H17">
        <v>2</v>
      </c>
      <c r="I17">
        <f t="shared" ref="I17" si="2">LN(B17)</f>
        <v>-5.2030071867437115</v>
      </c>
      <c r="J17">
        <v>7.2284161474004766E-2</v>
      </c>
      <c r="K17" t="s">
        <v>31</v>
      </c>
      <c r="L17" t="s">
        <v>31</v>
      </c>
      <c r="M17" t="s">
        <v>31</v>
      </c>
      <c r="O17" s="118" t="s">
        <v>863</v>
      </c>
      <c r="P17" s="119">
        <v>5.5</v>
      </c>
      <c r="Q17">
        <f>0.001*P17</f>
        <v>5.4999999999999997E-3</v>
      </c>
    </row>
    <row r="18" spans="1:20" s="70" customFormat="1" ht="15.6">
      <c r="A18" s="67" t="s">
        <v>5</v>
      </c>
      <c r="B18" s="123" t="s">
        <v>1777</v>
      </c>
    </row>
    <row r="19" spans="1:20">
      <c r="A19" s="71" t="s">
        <v>7</v>
      </c>
      <c r="B19" t="s">
        <v>1654</v>
      </c>
      <c r="C19" s="72"/>
    </row>
    <row r="20" spans="1:20">
      <c r="A20" s="126" t="s">
        <v>9</v>
      </c>
      <c r="B20" s="22" t="s">
        <v>1778</v>
      </c>
      <c r="C20" s="72"/>
    </row>
    <row r="21" spans="1:20" ht="15.75" customHeight="1">
      <c r="A21" s="71" t="s">
        <v>11</v>
      </c>
      <c r="B21" s="73" t="s">
        <v>796</v>
      </c>
    </row>
    <row r="22" spans="1:20">
      <c r="A22" s="71" t="s">
        <v>13</v>
      </c>
      <c r="B22" t="s">
        <v>14</v>
      </c>
    </row>
    <row r="23" spans="1:20">
      <c r="A23" s="71" t="s">
        <v>15</v>
      </c>
      <c r="B23" s="115">
        <f>B28</f>
        <v>0.03</v>
      </c>
    </row>
    <row r="24" spans="1:20">
      <c r="A24" s="71" t="s">
        <v>16</v>
      </c>
      <c r="B24" t="s">
        <v>17</v>
      </c>
    </row>
    <row r="25" spans="1:20">
      <c r="A25" s="71" t="s">
        <v>18</v>
      </c>
      <c r="B25" t="s">
        <v>609</v>
      </c>
    </row>
    <row r="26" spans="1:20" ht="15.6">
      <c r="A26" s="75" t="s">
        <v>19</v>
      </c>
    </row>
    <row r="27" spans="1:20" ht="15.6">
      <c r="A27" s="16"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c r="T27" s="115"/>
    </row>
    <row r="28" spans="1:20" ht="15.6">
      <c r="A28" t="s">
        <v>1777</v>
      </c>
      <c r="B28" s="115">
        <v>0.03</v>
      </c>
      <c r="C28" t="s">
        <v>609</v>
      </c>
      <c r="D28" s="109" t="s">
        <v>1754</v>
      </c>
      <c r="E28" t="s">
        <v>29</v>
      </c>
      <c r="F28" t="s">
        <v>14</v>
      </c>
      <c r="G28" t="s">
        <v>30</v>
      </c>
      <c r="H28">
        <v>1</v>
      </c>
      <c r="I28" s="115">
        <f>B28</f>
        <v>0.03</v>
      </c>
      <c r="J28">
        <v>7.2284161474004766E-2</v>
      </c>
      <c r="K28" t="s">
        <v>31</v>
      </c>
      <c r="L28" t="s">
        <v>31</v>
      </c>
      <c r="M28" t="s">
        <v>31</v>
      </c>
      <c r="O28" s="101" t="s">
        <v>892</v>
      </c>
      <c r="P28" s="114">
        <f>B28*100</f>
        <v>3</v>
      </c>
    </row>
    <row r="29" spans="1:20">
      <c r="A29" t="s">
        <v>1779</v>
      </c>
      <c r="B29" s="115">
        <v>0.03</v>
      </c>
      <c r="C29" t="s">
        <v>609</v>
      </c>
      <c r="D29" s="143" t="s">
        <v>1754</v>
      </c>
      <c r="E29" t="s">
        <v>29</v>
      </c>
      <c r="F29" t="s">
        <v>14</v>
      </c>
      <c r="G29" t="s">
        <v>33</v>
      </c>
      <c r="H29">
        <v>1</v>
      </c>
      <c r="I29" s="115">
        <f>B29</f>
        <v>0.03</v>
      </c>
      <c r="J29">
        <v>7.2284161474004766E-2</v>
      </c>
      <c r="K29" t="s">
        <v>31</v>
      </c>
      <c r="L29" t="s">
        <v>31</v>
      </c>
      <c r="M29" t="s">
        <v>31</v>
      </c>
    </row>
    <row r="30" spans="1:20" ht="15.6">
      <c r="A30" s="76" t="s">
        <v>38</v>
      </c>
      <c r="B30" s="122">
        <f>P30</f>
        <v>0.31</v>
      </c>
      <c r="C30" t="s">
        <v>39</v>
      </c>
      <c r="D30" s="17" t="s">
        <v>221</v>
      </c>
      <c r="E30" t="s">
        <v>29</v>
      </c>
      <c r="F30" s="74" t="s">
        <v>35</v>
      </c>
      <c r="G30" t="s">
        <v>33</v>
      </c>
      <c r="H30">
        <v>2</v>
      </c>
      <c r="I30">
        <f t="shared" ref="I30:I31" si="3">LN(B30)</f>
        <v>-1.1711829815029451</v>
      </c>
      <c r="J30">
        <v>7.2284161474004766E-2</v>
      </c>
      <c r="K30" t="s">
        <v>31</v>
      </c>
      <c r="L30" t="s">
        <v>31</v>
      </c>
      <c r="M30" t="s">
        <v>31</v>
      </c>
      <c r="O30" s="101" t="s">
        <v>248</v>
      </c>
      <c r="P30" s="114">
        <v>0.31</v>
      </c>
    </row>
    <row r="31" spans="1:20" ht="15.6">
      <c r="A31" s="88" t="s">
        <v>310</v>
      </c>
      <c r="B31">
        <f>R31</f>
        <v>7.0000000000000001E-3</v>
      </c>
      <c r="C31" s="115" t="s">
        <v>37</v>
      </c>
      <c r="D31" s="17" t="s">
        <v>221</v>
      </c>
      <c r="E31" t="s">
        <v>29</v>
      </c>
      <c r="F31" t="s">
        <v>59</v>
      </c>
      <c r="G31" t="s">
        <v>33</v>
      </c>
      <c r="H31">
        <v>2</v>
      </c>
      <c r="I31">
        <f t="shared" si="3"/>
        <v>-4.9618451299268234</v>
      </c>
      <c r="J31">
        <v>7.2284161474004766E-2</v>
      </c>
      <c r="K31" t="s">
        <v>31</v>
      </c>
      <c r="L31" t="s">
        <v>31</v>
      </c>
      <c r="M31" t="s">
        <v>31</v>
      </c>
      <c r="O31" s="101" t="s">
        <v>580</v>
      </c>
      <c r="P31" s="114">
        <v>7</v>
      </c>
      <c r="Q31" t="s">
        <v>241</v>
      </c>
      <c r="R31">
        <f>P31*0.001</f>
        <v>7.0000000000000001E-3</v>
      </c>
    </row>
    <row r="32" spans="1:20" ht="15.6">
      <c r="A32" s="112" t="s">
        <v>871</v>
      </c>
      <c r="B32">
        <f t="shared" ref="B32:B33" si="4">R32</f>
        <v>1.3000000000000001E-2</v>
      </c>
      <c r="C32" t="s">
        <v>37</v>
      </c>
      <c r="D32" s="17" t="s">
        <v>221</v>
      </c>
      <c r="E32" t="s">
        <v>29</v>
      </c>
      <c r="F32" s="74" t="s">
        <v>35</v>
      </c>
      <c r="G32" t="s">
        <v>33</v>
      </c>
      <c r="H32">
        <v>2</v>
      </c>
      <c r="I32">
        <f>LN(B32)</f>
        <v>-4.3428059215206005</v>
      </c>
      <c r="J32">
        <v>7.2284161474004766E-2</v>
      </c>
      <c r="K32" t="s">
        <v>31</v>
      </c>
      <c r="L32" t="s">
        <v>31</v>
      </c>
      <c r="M32" t="s">
        <v>31</v>
      </c>
      <c r="O32" s="101" t="s">
        <v>580</v>
      </c>
      <c r="P32" s="114">
        <v>13</v>
      </c>
      <c r="Q32" t="s">
        <v>241</v>
      </c>
      <c r="R32">
        <f>P32*0.001</f>
        <v>1.3000000000000001E-2</v>
      </c>
    </row>
    <row r="33" spans="1:20" ht="15.6">
      <c r="A33" s="76" t="s">
        <v>799</v>
      </c>
      <c r="B33">
        <f t="shared" si="4"/>
        <v>11.7</v>
      </c>
      <c r="C33" t="s">
        <v>37</v>
      </c>
      <c r="D33" s="17" t="s">
        <v>221</v>
      </c>
      <c r="E33" t="s">
        <v>29</v>
      </c>
      <c r="F33" s="74" t="s">
        <v>74</v>
      </c>
      <c r="G33" t="s">
        <v>33</v>
      </c>
      <c r="H33">
        <v>2</v>
      </c>
      <c r="I33">
        <f t="shared" ref="I33:I34" si="5">LN(B33)</f>
        <v>2.4595888418037104</v>
      </c>
      <c r="J33">
        <v>7.2284161474004766E-2</v>
      </c>
      <c r="K33" t="s">
        <v>31</v>
      </c>
      <c r="L33" t="s">
        <v>31</v>
      </c>
      <c r="M33" t="s">
        <v>31</v>
      </c>
      <c r="O33" s="101" t="s">
        <v>241</v>
      </c>
      <c r="P33" s="114">
        <v>11.7</v>
      </c>
      <c r="Q33" t="s">
        <v>241</v>
      </c>
      <c r="R33">
        <f>P33</f>
        <v>11.7</v>
      </c>
    </row>
    <row r="34" spans="1:20" ht="15.6">
      <c r="A34" s="88" t="s">
        <v>76</v>
      </c>
      <c r="B34">
        <f>R34</f>
        <v>1.17E-2</v>
      </c>
      <c r="C34" t="s">
        <v>42</v>
      </c>
      <c r="D34" s="17" t="s">
        <v>221</v>
      </c>
      <c r="E34" t="s">
        <v>29</v>
      </c>
      <c r="F34" s="74" t="s">
        <v>74</v>
      </c>
      <c r="G34" t="s">
        <v>33</v>
      </c>
      <c r="H34">
        <v>2</v>
      </c>
      <c r="I34">
        <f t="shared" si="5"/>
        <v>-4.4481664371784264</v>
      </c>
      <c r="J34">
        <v>7.2284161474004766E-2</v>
      </c>
      <c r="K34" t="s">
        <v>31</v>
      </c>
      <c r="L34" t="s">
        <v>31</v>
      </c>
      <c r="M34" t="s">
        <v>31</v>
      </c>
      <c r="O34" s="118" t="s">
        <v>863</v>
      </c>
      <c r="P34" s="119">
        <v>11.7</v>
      </c>
      <c r="Q34" t="s">
        <v>251</v>
      </c>
      <c r="R34">
        <f>0.001*P34</f>
        <v>1.17E-2</v>
      </c>
    </row>
    <row r="35" spans="1:20" s="70" customFormat="1" ht="15.6">
      <c r="A35" s="67" t="s">
        <v>5</v>
      </c>
      <c r="B35" s="123" t="s">
        <v>1779</v>
      </c>
    </row>
    <row r="36" spans="1:20">
      <c r="A36" s="71" t="s">
        <v>7</v>
      </c>
      <c r="B36" t="s">
        <v>1654</v>
      </c>
      <c r="C36" s="72"/>
    </row>
    <row r="37" spans="1:20">
      <c r="A37" s="126" t="s">
        <v>9</v>
      </c>
      <c r="B37" s="22" t="s">
        <v>1780</v>
      </c>
      <c r="C37" s="72"/>
    </row>
    <row r="38" spans="1:20" ht="15.75" customHeight="1">
      <c r="A38" s="71" t="s">
        <v>11</v>
      </c>
      <c r="B38" s="73" t="s">
        <v>796</v>
      </c>
    </row>
    <row r="39" spans="1:20">
      <c r="A39" s="71" t="s">
        <v>13</v>
      </c>
      <c r="B39" t="s">
        <v>14</v>
      </c>
    </row>
    <row r="40" spans="1:20">
      <c r="A40" s="71" t="s">
        <v>15</v>
      </c>
      <c r="B40" s="115">
        <f>B45</f>
        <v>0.03</v>
      </c>
    </row>
    <row r="41" spans="1:20">
      <c r="A41" s="71" t="s">
        <v>16</v>
      </c>
      <c r="B41" t="s">
        <v>17</v>
      </c>
    </row>
    <row r="42" spans="1:20">
      <c r="A42" s="71" t="s">
        <v>18</v>
      </c>
      <c r="B42" t="s">
        <v>609</v>
      </c>
    </row>
    <row r="43" spans="1:20" ht="15.6">
      <c r="A43" s="75" t="s">
        <v>19</v>
      </c>
    </row>
    <row r="44" spans="1:20" ht="15.6">
      <c r="A44" s="16" t="s">
        <v>20</v>
      </c>
      <c r="B44" s="16" t="s">
        <v>21</v>
      </c>
      <c r="C44" s="16" t="s">
        <v>18</v>
      </c>
      <c r="D44" s="16" t="s">
        <v>22</v>
      </c>
      <c r="E44" s="16" t="s">
        <v>7</v>
      </c>
      <c r="F44" s="16" t="s">
        <v>13</v>
      </c>
      <c r="G44" s="16" t="s">
        <v>16</v>
      </c>
      <c r="H44" s="16" t="s">
        <v>23</v>
      </c>
      <c r="I44" s="16" t="s">
        <v>24</v>
      </c>
      <c r="J44" s="16" t="s">
        <v>25</v>
      </c>
      <c r="K44" s="16" t="s">
        <v>26</v>
      </c>
      <c r="L44" s="16" t="s">
        <v>27</v>
      </c>
      <c r="M44" s="16" t="s">
        <v>28</v>
      </c>
      <c r="N44" s="16" t="s">
        <v>11</v>
      </c>
      <c r="T44" s="115"/>
    </row>
    <row r="45" spans="1:20">
      <c r="A45" t="s">
        <v>1779</v>
      </c>
      <c r="B45" s="115">
        <f>B29</f>
        <v>0.03</v>
      </c>
      <c r="C45" t="s">
        <v>609</v>
      </c>
      <c r="D45" s="143" t="s">
        <v>1754</v>
      </c>
      <c r="E45" t="s">
        <v>29</v>
      </c>
      <c r="F45" t="s">
        <v>14</v>
      </c>
      <c r="G45" t="s">
        <v>30</v>
      </c>
      <c r="H45">
        <v>1</v>
      </c>
      <c r="I45" s="115">
        <f>B45</f>
        <v>0.03</v>
      </c>
      <c r="J45" t="s">
        <v>31</v>
      </c>
      <c r="K45" t="s">
        <v>31</v>
      </c>
      <c r="L45" t="s">
        <v>31</v>
      </c>
      <c r="M45" t="s">
        <v>31</v>
      </c>
    </row>
    <row r="46" spans="1:20">
      <c r="A46" s="88" t="s">
        <v>897</v>
      </c>
      <c r="B46" s="137">
        <v>0.4</v>
      </c>
      <c r="C46" t="s">
        <v>37</v>
      </c>
      <c r="D46" t="s">
        <v>221</v>
      </c>
      <c r="E46" t="s">
        <v>29</v>
      </c>
      <c r="F46" t="s">
        <v>82</v>
      </c>
      <c r="G46" t="s">
        <v>33</v>
      </c>
      <c r="H46">
        <v>1</v>
      </c>
      <c r="I46" s="115">
        <f t="shared" ref="I46:I47" si="6">B46</f>
        <v>0.4</v>
      </c>
      <c r="J46" t="s">
        <v>31</v>
      </c>
      <c r="K46" t="s">
        <v>31</v>
      </c>
      <c r="L46" t="s">
        <v>31</v>
      </c>
      <c r="M46" t="s">
        <v>31</v>
      </c>
    </row>
    <row r="47" spans="1:20">
      <c r="A47" s="88" t="s">
        <v>898</v>
      </c>
      <c r="B47" s="137">
        <v>0.4</v>
      </c>
      <c r="C47" t="s">
        <v>37</v>
      </c>
      <c r="D47" t="s">
        <v>221</v>
      </c>
      <c r="E47" t="s">
        <v>29</v>
      </c>
      <c r="F47" t="s">
        <v>59</v>
      </c>
      <c r="G47" t="s">
        <v>33</v>
      </c>
      <c r="H47">
        <v>1</v>
      </c>
      <c r="I47" s="115">
        <f t="shared" si="6"/>
        <v>0.4</v>
      </c>
      <c r="J47" t="s">
        <v>31</v>
      </c>
      <c r="K47" t="s">
        <v>31</v>
      </c>
      <c r="L47" t="s">
        <v>31</v>
      </c>
      <c r="M47" t="s">
        <v>31</v>
      </c>
    </row>
  </sheetData>
  <pageMargins left="0.7" right="0.7" top="0.75" bottom="0.75" header="0.3" footer="0.3"/>
  <pageSetup paperSize="9" orientation="portrai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E7981-03B3-468E-B11D-F90A66F0C170}">
  <sheetPr>
    <tabColor theme="8" tint="0.79998168889431442"/>
  </sheetPr>
  <dimension ref="A1:Y57"/>
  <sheetViews>
    <sheetView topLeftCell="A15" zoomScale="85" zoomScaleNormal="85" workbookViewId="0">
      <selection activeCell="B5" sqref="B5"/>
    </sheetView>
  </sheetViews>
  <sheetFormatPr defaultRowHeight="14.45"/>
  <cols>
    <col min="1" max="1" width="74" customWidth="1"/>
    <col min="5" max="5" width="34.28515625" customWidth="1"/>
    <col min="6" max="6" width="16.7109375" customWidth="1"/>
    <col min="8" max="8" width="14.28515625" customWidth="1"/>
  </cols>
  <sheetData>
    <row r="1" spans="1:21">
      <c r="A1" t="s">
        <v>0</v>
      </c>
      <c r="B1">
        <v>14</v>
      </c>
      <c r="R1" s="59"/>
      <c r="S1" s="120"/>
    </row>
    <row r="2" spans="1:21" s="70" customFormat="1" ht="15.6">
      <c r="A2" s="67" t="s">
        <v>5</v>
      </c>
      <c r="B2" s="123" t="s">
        <v>1679</v>
      </c>
      <c r="C2" s="123"/>
      <c r="R2" s="144"/>
      <c r="S2" s="145"/>
    </row>
    <row r="3" spans="1:21">
      <c r="A3" s="71" t="s">
        <v>7</v>
      </c>
      <c r="B3" t="s">
        <v>1654</v>
      </c>
      <c r="D3" s="72"/>
      <c r="R3" s="59"/>
      <c r="S3" s="120"/>
    </row>
    <row r="4" spans="1:21">
      <c r="A4" s="126" t="s">
        <v>9</v>
      </c>
      <c r="B4" t="s">
        <v>1781</v>
      </c>
      <c r="D4" s="72"/>
    </row>
    <row r="5" spans="1:21" ht="15.75" customHeight="1">
      <c r="A5" s="71" t="s">
        <v>11</v>
      </c>
      <c r="B5" s="73" t="s">
        <v>796</v>
      </c>
      <c r="C5" s="73"/>
    </row>
    <row r="6" spans="1:21">
      <c r="A6" s="71" t="s">
        <v>13</v>
      </c>
      <c r="B6" t="s">
        <v>14</v>
      </c>
    </row>
    <row r="7" spans="1:21">
      <c r="A7" s="71" t="s">
        <v>15</v>
      </c>
      <c r="B7" s="23">
        <f>B12</f>
        <v>6.65</v>
      </c>
      <c r="C7" s="23"/>
    </row>
    <row r="8" spans="1:21">
      <c r="A8" s="71" t="s">
        <v>16</v>
      </c>
      <c r="B8" t="s">
        <v>17</v>
      </c>
    </row>
    <row r="9" spans="1:21">
      <c r="A9" s="71" t="s">
        <v>18</v>
      </c>
      <c r="B9" t="s">
        <v>37</v>
      </c>
    </row>
    <row r="10" spans="1:21" ht="15.6">
      <c r="A10" s="75" t="s">
        <v>19</v>
      </c>
    </row>
    <row r="11" spans="1:21" ht="15.6">
      <c r="A11" s="16" t="s">
        <v>20</v>
      </c>
      <c r="B11" s="16" t="s">
        <v>21</v>
      </c>
      <c r="C11" s="77" t="s">
        <v>217</v>
      </c>
      <c r="D11" s="16" t="s">
        <v>18</v>
      </c>
      <c r="E11" s="16" t="s">
        <v>22</v>
      </c>
      <c r="F11" s="16" t="s">
        <v>7</v>
      </c>
      <c r="G11" s="16" t="s">
        <v>13</v>
      </c>
      <c r="H11" s="16" t="s">
        <v>16</v>
      </c>
      <c r="I11" s="16" t="s">
        <v>23</v>
      </c>
      <c r="J11" s="16" t="s">
        <v>24</v>
      </c>
      <c r="K11" s="16" t="s">
        <v>25</v>
      </c>
      <c r="L11" s="16" t="s">
        <v>26</v>
      </c>
      <c r="M11" s="16" t="s">
        <v>27</v>
      </c>
      <c r="N11" s="16" t="s">
        <v>28</v>
      </c>
      <c r="O11" s="16" t="s">
        <v>11</v>
      </c>
      <c r="U11" s="115"/>
    </row>
    <row r="12" spans="1:21" ht="15.6">
      <c r="A12" t="s">
        <v>1679</v>
      </c>
      <c r="B12">
        <f>B48</f>
        <v>6.65</v>
      </c>
      <c r="D12" t="s">
        <v>37</v>
      </c>
      <c r="E12" s="109" t="s">
        <v>1754</v>
      </c>
      <c r="F12" t="s">
        <v>29</v>
      </c>
      <c r="G12" t="s">
        <v>14</v>
      </c>
      <c r="H12" t="s">
        <v>30</v>
      </c>
      <c r="I12">
        <v>1</v>
      </c>
      <c r="J12">
        <f>B12</f>
        <v>6.65</v>
      </c>
      <c r="K12" t="s">
        <v>31</v>
      </c>
      <c r="L12" t="s">
        <v>31</v>
      </c>
      <c r="M12" t="s">
        <v>31</v>
      </c>
      <c r="N12" t="s">
        <v>31</v>
      </c>
      <c r="P12" s="59"/>
      <c r="Q12" s="120"/>
    </row>
    <row r="13" spans="1:21" ht="15.6">
      <c r="A13" t="s">
        <v>1782</v>
      </c>
      <c r="B13">
        <v>1</v>
      </c>
      <c r="D13" t="s">
        <v>18</v>
      </c>
      <c r="E13" s="109" t="s">
        <v>1754</v>
      </c>
      <c r="F13" t="s">
        <v>29</v>
      </c>
      <c r="G13" t="s">
        <v>14</v>
      </c>
      <c r="H13" t="s">
        <v>33</v>
      </c>
      <c r="I13">
        <v>1</v>
      </c>
      <c r="J13">
        <v>1</v>
      </c>
      <c r="K13" t="s">
        <v>31</v>
      </c>
      <c r="L13" t="s">
        <v>31</v>
      </c>
      <c r="M13" t="s">
        <v>31</v>
      </c>
      <c r="N13" t="s">
        <v>31</v>
      </c>
    </row>
    <row r="14" spans="1:21" ht="15.6">
      <c r="A14" s="76" t="s">
        <v>38</v>
      </c>
      <c r="B14" s="122">
        <f>Q14</f>
        <v>0.25</v>
      </c>
      <c r="C14" s="122"/>
      <c r="D14" t="s">
        <v>39</v>
      </c>
      <c r="E14" s="17" t="s">
        <v>221</v>
      </c>
      <c r="F14" t="s">
        <v>29</v>
      </c>
      <c r="G14" s="74" t="s">
        <v>35</v>
      </c>
      <c r="H14" t="s">
        <v>33</v>
      </c>
      <c r="I14">
        <v>2</v>
      </c>
      <c r="J14">
        <f t="shared" ref="J14:J18" si="0">LN(B14)</f>
        <v>-1.3862943611198906</v>
      </c>
      <c r="K14" s="113">
        <v>9.6046863561492793E-2</v>
      </c>
      <c r="L14" t="s">
        <v>31</v>
      </c>
      <c r="M14" t="s">
        <v>31</v>
      </c>
      <c r="N14" t="s">
        <v>31</v>
      </c>
      <c r="P14" s="101" t="s">
        <v>248</v>
      </c>
      <c r="Q14" s="114">
        <v>0.25</v>
      </c>
    </row>
    <row r="15" spans="1:21" ht="15.6">
      <c r="A15" s="76" t="s">
        <v>38</v>
      </c>
      <c r="B15" s="122">
        <f>Q15</f>
        <v>0.5</v>
      </c>
      <c r="C15" s="122"/>
      <c r="D15" t="s">
        <v>39</v>
      </c>
      <c r="E15" s="17" t="s">
        <v>221</v>
      </c>
      <c r="F15" t="s">
        <v>29</v>
      </c>
      <c r="G15" s="74" t="s">
        <v>59</v>
      </c>
      <c r="H15" t="s">
        <v>33</v>
      </c>
      <c r="I15">
        <v>2</v>
      </c>
      <c r="J15">
        <f t="shared" si="0"/>
        <v>-0.69314718055994529</v>
      </c>
      <c r="K15" s="113">
        <v>9.6046863561492793E-2</v>
      </c>
      <c r="L15" t="s">
        <v>31</v>
      </c>
      <c r="M15" t="s">
        <v>31</v>
      </c>
      <c r="N15" t="s">
        <v>31</v>
      </c>
      <c r="P15" s="101" t="s">
        <v>248</v>
      </c>
      <c r="Q15" s="114">
        <v>0.5</v>
      </c>
    </row>
    <row r="16" spans="1:21" ht="15.6">
      <c r="A16" s="88" t="s">
        <v>901</v>
      </c>
      <c r="B16">
        <f>S16</f>
        <v>6.5000000000000002E-2</v>
      </c>
      <c r="D16" t="s">
        <v>37</v>
      </c>
      <c r="E16" s="17" t="s">
        <v>221</v>
      </c>
      <c r="F16" t="s">
        <v>29</v>
      </c>
      <c r="G16" t="s">
        <v>35</v>
      </c>
      <c r="H16" t="s">
        <v>33</v>
      </c>
      <c r="I16">
        <v>2</v>
      </c>
      <c r="J16">
        <f t="shared" si="0"/>
        <v>-2.7333680090865</v>
      </c>
      <c r="K16" s="113">
        <v>9.6046863561492793E-2</v>
      </c>
      <c r="L16" t="s">
        <v>31</v>
      </c>
      <c r="M16" t="s">
        <v>31</v>
      </c>
      <c r="N16" t="s">
        <v>31</v>
      </c>
      <c r="P16" s="101" t="s">
        <v>580</v>
      </c>
      <c r="Q16" s="114">
        <v>65</v>
      </c>
      <c r="R16" s="101" t="s">
        <v>241</v>
      </c>
      <c r="S16" s="114">
        <f>0.001*Q16</f>
        <v>6.5000000000000002E-2</v>
      </c>
    </row>
    <row r="17" spans="1:21" ht="15.6">
      <c r="A17" s="88" t="s">
        <v>902</v>
      </c>
      <c r="B17">
        <f>Q17</f>
        <v>1.2</v>
      </c>
      <c r="D17" t="s">
        <v>37</v>
      </c>
      <c r="E17" s="17" t="s">
        <v>221</v>
      </c>
      <c r="F17" t="s">
        <v>29</v>
      </c>
      <c r="G17" s="74" t="s">
        <v>74</v>
      </c>
      <c r="H17" t="s">
        <v>33</v>
      </c>
      <c r="I17">
        <v>2</v>
      </c>
      <c r="J17">
        <f t="shared" si="0"/>
        <v>0.18232155679395459</v>
      </c>
      <c r="K17" s="113">
        <v>9.6046863561492793E-2</v>
      </c>
      <c r="L17" t="s">
        <v>31</v>
      </c>
      <c r="M17" t="s">
        <v>31</v>
      </c>
      <c r="N17" t="s">
        <v>31</v>
      </c>
      <c r="P17" s="101" t="s">
        <v>241</v>
      </c>
      <c r="Q17" s="114">
        <v>1.2</v>
      </c>
    </row>
    <row r="18" spans="1:21" ht="15.6">
      <c r="A18" s="88" t="s">
        <v>793</v>
      </c>
      <c r="B18">
        <f>S18</f>
        <v>6.5000000000000002E-2</v>
      </c>
      <c r="D18" t="s">
        <v>37</v>
      </c>
      <c r="E18" s="17" t="s">
        <v>221</v>
      </c>
      <c r="F18" t="s">
        <v>29</v>
      </c>
      <c r="G18" s="74" t="s">
        <v>74</v>
      </c>
      <c r="H18" t="s">
        <v>33</v>
      </c>
      <c r="I18">
        <v>2</v>
      </c>
      <c r="J18">
        <f t="shared" si="0"/>
        <v>-2.7333680090865</v>
      </c>
      <c r="K18" s="113">
        <v>9.6046863561492793E-2</v>
      </c>
      <c r="L18" t="s">
        <v>31</v>
      </c>
      <c r="M18" t="s">
        <v>31</v>
      </c>
      <c r="N18" t="s">
        <v>31</v>
      </c>
      <c r="P18" s="101" t="s">
        <v>580</v>
      </c>
      <c r="Q18" s="119">
        <v>65</v>
      </c>
      <c r="R18" s="101" t="s">
        <v>241</v>
      </c>
      <c r="S18" s="114">
        <f>0.001*Q18</f>
        <v>6.5000000000000002E-2</v>
      </c>
    </row>
    <row r="19" spans="1:21" s="70" customFormat="1" ht="15.6">
      <c r="A19" s="67" t="s">
        <v>5</v>
      </c>
      <c r="B19" s="123" t="str">
        <f>A29</f>
        <v>production of machined casing, mass scaled activities, DCDC power module, battery charging, long-term</v>
      </c>
      <c r="C19" s="123"/>
    </row>
    <row r="20" spans="1:21">
      <c r="A20" s="71" t="s">
        <v>7</v>
      </c>
      <c r="B20" t="s">
        <v>1654</v>
      </c>
      <c r="D20" s="72"/>
    </row>
    <row r="21" spans="1:21">
      <c r="A21" s="126" t="s">
        <v>9</v>
      </c>
      <c r="B21" t="s">
        <v>1783</v>
      </c>
      <c r="D21" s="72"/>
    </row>
    <row r="22" spans="1:21" ht="15.75" customHeight="1">
      <c r="A22" s="71" t="s">
        <v>11</v>
      </c>
      <c r="B22" s="73" t="s">
        <v>796</v>
      </c>
      <c r="C22" s="73"/>
    </row>
    <row r="23" spans="1:21">
      <c r="A23" s="71" t="s">
        <v>13</v>
      </c>
      <c r="B23" t="s">
        <v>14</v>
      </c>
    </row>
    <row r="24" spans="1:21">
      <c r="A24" s="71" t="s">
        <v>15</v>
      </c>
      <c r="B24" s="23">
        <v>1</v>
      </c>
      <c r="C24" s="23"/>
    </row>
    <row r="25" spans="1:21">
      <c r="A25" s="71" t="s">
        <v>16</v>
      </c>
      <c r="B25" t="s">
        <v>17</v>
      </c>
    </row>
    <row r="26" spans="1:21">
      <c r="A26" s="71" t="s">
        <v>18</v>
      </c>
      <c r="B26" t="s">
        <v>18</v>
      </c>
    </row>
    <row r="27" spans="1:21" ht="15.6">
      <c r="A27" s="75" t="s">
        <v>19</v>
      </c>
    </row>
    <row r="28" spans="1:21" ht="15.6">
      <c r="A28" s="16" t="s">
        <v>20</v>
      </c>
      <c r="B28" s="16" t="s">
        <v>21</v>
      </c>
      <c r="C28" s="77" t="s">
        <v>217</v>
      </c>
      <c r="D28" s="16" t="s">
        <v>18</v>
      </c>
      <c r="E28" s="16" t="s">
        <v>22</v>
      </c>
      <c r="F28" s="16" t="s">
        <v>7</v>
      </c>
      <c r="G28" s="16" t="s">
        <v>13</v>
      </c>
      <c r="H28" s="16" t="s">
        <v>16</v>
      </c>
      <c r="I28" s="16" t="s">
        <v>23</v>
      </c>
      <c r="J28" s="16" t="s">
        <v>24</v>
      </c>
      <c r="K28" s="16" t="s">
        <v>25</v>
      </c>
      <c r="L28" s="16" t="s">
        <v>26</v>
      </c>
      <c r="M28" s="16" t="s">
        <v>27</v>
      </c>
      <c r="N28" s="16" t="s">
        <v>28</v>
      </c>
      <c r="O28" s="16" t="s">
        <v>11</v>
      </c>
      <c r="U28" s="115"/>
    </row>
    <row r="29" spans="1:21" ht="15.6">
      <c r="A29" t="s">
        <v>1782</v>
      </c>
      <c r="B29">
        <v>1</v>
      </c>
      <c r="D29" t="s">
        <v>18</v>
      </c>
      <c r="E29" s="109" t="s">
        <v>1754</v>
      </c>
      <c r="F29" t="s">
        <v>29</v>
      </c>
      <c r="G29" t="s">
        <v>14</v>
      </c>
      <c r="H29" t="s">
        <v>30</v>
      </c>
      <c r="I29">
        <v>1</v>
      </c>
      <c r="J29">
        <v>1</v>
      </c>
      <c r="K29" t="s">
        <v>31</v>
      </c>
      <c r="L29" t="s">
        <v>31</v>
      </c>
      <c r="M29" t="s">
        <v>31</v>
      </c>
      <c r="N29" t="s">
        <v>31</v>
      </c>
      <c r="Q29" s="137">
        <v>6.33</v>
      </c>
    </row>
    <row r="30" spans="1:21">
      <c r="A30" t="s">
        <v>1784</v>
      </c>
      <c r="B30" s="23">
        <f>B43</f>
        <v>6.65</v>
      </c>
      <c r="D30" t="s">
        <v>37</v>
      </c>
      <c r="E30" s="143" t="s">
        <v>1754</v>
      </c>
      <c r="F30" t="s">
        <v>29</v>
      </c>
      <c r="G30" t="s">
        <v>14</v>
      </c>
      <c r="H30" t="s">
        <v>33</v>
      </c>
      <c r="I30">
        <v>2</v>
      </c>
      <c r="J30">
        <f>LN(B30)</f>
        <v>1.8946168546677629</v>
      </c>
      <c r="K30">
        <v>0.10307764064044142</v>
      </c>
      <c r="L30" t="s">
        <v>31</v>
      </c>
      <c r="M30" t="s">
        <v>31</v>
      </c>
      <c r="N30" t="s">
        <v>31</v>
      </c>
    </row>
    <row r="31" spans="1:21" ht="15.6">
      <c r="A31" s="76" t="s">
        <v>38</v>
      </c>
      <c r="B31" s="122">
        <f>Q31</f>
        <v>0.38</v>
      </c>
      <c r="C31" s="122"/>
      <c r="D31" t="s">
        <v>39</v>
      </c>
      <c r="E31" s="17" t="s">
        <v>221</v>
      </c>
      <c r="F31" t="s">
        <v>29</v>
      </c>
      <c r="G31" s="74" t="s">
        <v>59</v>
      </c>
      <c r="H31" t="s">
        <v>33</v>
      </c>
      <c r="I31">
        <v>2</v>
      </c>
      <c r="J31">
        <f t="shared" ref="J31:J37" si="1">LN(B31)</f>
        <v>-0.96758402626170559</v>
      </c>
      <c r="K31">
        <v>9.6046863561492793E-2</v>
      </c>
      <c r="L31" t="s">
        <v>31</v>
      </c>
      <c r="M31" t="s">
        <v>31</v>
      </c>
      <c r="N31" t="s">
        <v>31</v>
      </c>
      <c r="P31" s="101" t="s">
        <v>248</v>
      </c>
      <c r="Q31" s="114">
        <v>0.38</v>
      </c>
    </row>
    <row r="32" spans="1:21" ht="15.6">
      <c r="A32" s="88" t="s">
        <v>901</v>
      </c>
      <c r="B32">
        <f>S32</f>
        <v>8.8999999999999996E-2</v>
      </c>
      <c r="D32" t="s">
        <v>37</v>
      </c>
      <c r="E32" s="17" t="s">
        <v>221</v>
      </c>
      <c r="F32" t="s">
        <v>29</v>
      </c>
      <c r="G32" t="s">
        <v>35</v>
      </c>
      <c r="H32" t="s">
        <v>33</v>
      </c>
      <c r="I32">
        <v>2</v>
      </c>
      <c r="J32">
        <f t="shared" si="1"/>
        <v>-2.4191189092499972</v>
      </c>
      <c r="K32">
        <v>9.6046863561492793E-2</v>
      </c>
      <c r="L32" t="s">
        <v>31</v>
      </c>
      <c r="M32" t="s">
        <v>31</v>
      </c>
      <c r="N32" t="s">
        <v>31</v>
      </c>
      <c r="P32" s="101" t="s">
        <v>580</v>
      </c>
      <c r="Q32" s="114">
        <v>89</v>
      </c>
      <c r="R32" s="101" t="s">
        <v>241</v>
      </c>
      <c r="S32" s="114">
        <f>0.001*Q32</f>
        <v>8.8999999999999996E-2</v>
      </c>
    </row>
    <row r="33" spans="1:21" ht="15.6">
      <c r="A33" s="88" t="s">
        <v>902</v>
      </c>
      <c r="B33">
        <f>Q33</f>
        <v>1.6</v>
      </c>
      <c r="D33" t="s">
        <v>37</v>
      </c>
      <c r="E33" s="17" t="s">
        <v>221</v>
      </c>
      <c r="F33" t="s">
        <v>29</v>
      </c>
      <c r="G33" s="74" t="s">
        <v>74</v>
      </c>
      <c r="H33" t="s">
        <v>33</v>
      </c>
      <c r="I33">
        <v>2</v>
      </c>
      <c r="J33">
        <f t="shared" si="1"/>
        <v>0.47000362924573563</v>
      </c>
      <c r="K33">
        <v>9.6046863561492793E-2</v>
      </c>
      <c r="L33" t="s">
        <v>31</v>
      </c>
      <c r="M33" t="s">
        <v>31</v>
      </c>
      <c r="N33" t="s">
        <v>31</v>
      </c>
      <c r="P33" s="101" t="s">
        <v>241</v>
      </c>
      <c r="Q33" s="114">
        <v>1.6</v>
      </c>
    </row>
    <row r="34" spans="1:21" ht="15.6">
      <c r="A34" s="146" t="s">
        <v>265</v>
      </c>
      <c r="B34">
        <f>S35</f>
        <v>8.8999999999999996E-2</v>
      </c>
      <c r="C34" s="59" t="s">
        <v>266</v>
      </c>
      <c r="D34" t="s">
        <v>37</v>
      </c>
      <c r="E34" s="17" t="s">
        <v>221</v>
      </c>
      <c r="F34" t="s">
        <v>29</v>
      </c>
      <c r="G34" s="74" t="s">
        <v>35</v>
      </c>
      <c r="H34" t="s">
        <v>33</v>
      </c>
      <c r="I34">
        <v>2</v>
      </c>
      <c r="J34">
        <f t="shared" si="1"/>
        <v>-2.4191189092499972</v>
      </c>
      <c r="K34">
        <v>9.6046863561492793E-2</v>
      </c>
      <c r="L34" t="s">
        <v>31</v>
      </c>
      <c r="M34" t="s">
        <v>31</v>
      </c>
      <c r="N34" t="s">
        <v>31</v>
      </c>
      <c r="P34" s="101"/>
      <c r="Q34" s="119">
        <v>335</v>
      </c>
    </row>
    <row r="35" spans="1:21" ht="15.6">
      <c r="A35" s="59" t="s">
        <v>263</v>
      </c>
      <c r="B35">
        <f>S35</f>
        <v>8.8999999999999996E-2</v>
      </c>
      <c r="D35" t="s">
        <v>37</v>
      </c>
      <c r="E35" s="17" t="s">
        <v>221</v>
      </c>
      <c r="F35" t="s">
        <v>29</v>
      </c>
      <c r="G35" t="s">
        <v>35</v>
      </c>
      <c r="H35" t="s">
        <v>33</v>
      </c>
      <c r="I35">
        <v>2</v>
      </c>
      <c r="J35">
        <f t="shared" si="1"/>
        <v>-2.4191189092499972</v>
      </c>
      <c r="K35">
        <v>9.6046863561492793E-2</v>
      </c>
      <c r="L35" t="s">
        <v>31</v>
      </c>
      <c r="M35" t="s">
        <v>31</v>
      </c>
      <c r="N35" t="s">
        <v>31</v>
      </c>
      <c r="P35" s="118" t="s">
        <v>580</v>
      </c>
      <c r="Q35" s="119">
        <v>335</v>
      </c>
      <c r="R35" s="101" t="s">
        <v>241</v>
      </c>
      <c r="S35" s="114">
        <f>0.001*Q37</f>
        <v>8.8999999999999996E-2</v>
      </c>
    </row>
    <row r="36" spans="1:21" ht="15.6">
      <c r="A36" s="88" t="s">
        <v>905</v>
      </c>
      <c r="B36">
        <f>S35</f>
        <v>8.8999999999999996E-2</v>
      </c>
      <c r="D36" t="s">
        <v>37</v>
      </c>
      <c r="E36" s="17" t="s">
        <v>221</v>
      </c>
      <c r="F36" t="s">
        <v>29</v>
      </c>
      <c r="G36" t="s">
        <v>59</v>
      </c>
      <c r="H36" t="s">
        <v>136</v>
      </c>
      <c r="I36">
        <v>2</v>
      </c>
      <c r="J36">
        <f t="shared" si="1"/>
        <v>-2.4191189092499972</v>
      </c>
      <c r="K36">
        <v>9.6046863561492793E-2</v>
      </c>
      <c r="L36" t="s">
        <v>31</v>
      </c>
      <c r="M36" t="s">
        <v>31</v>
      </c>
      <c r="N36" t="s">
        <v>31</v>
      </c>
      <c r="P36" s="118" t="s">
        <v>580</v>
      </c>
      <c r="Q36" s="119">
        <v>335</v>
      </c>
      <c r="R36" s="101" t="s">
        <v>241</v>
      </c>
      <c r="S36" s="114">
        <f>0.001*Q36</f>
        <v>0.33500000000000002</v>
      </c>
    </row>
    <row r="37" spans="1:21" ht="15.6">
      <c r="A37" s="88" t="s">
        <v>793</v>
      </c>
      <c r="B37">
        <f>S37</f>
        <v>8.8999999999999996E-2</v>
      </c>
      <c r="D37" t="s">
        <v>37</v>
      </c>
      <c r="E37" s="17" t="s">
        <v>221</v>
      </c>
      <c r="F37" t="s">
        <v>29</v>
      </c>
      <c r="G37" s="74" t="s">
        <v>74</v>
      </c>
      <c r="H37" t="s">
        <v>33</v>
      </c>
      <c r="I37">
        <v>2</v>
      </c>
      <c r="J37">
        <f t="shared" si="1"/>
        <v>-2.4191189092499972</v>
      </c>
      <c r="K37">
        <v>9.6046863561492793E-2</v>
      </c>
      <c r="L37" t="s">
        <v>31</v>
      </c>
      <c r="M37" t="s">
        <v>31</v>
      </c>
      <c r="N37" t="s">
        <v>31</v>
      </c>
      <c r="P37" s="118" t="s">
        <v>580</v>
      </c>
      <c r="Q37" s="119">
        <v>89</v>
      </c>
      <c r="R37" s="101" t="s">
        <v>241</v>
      </c>
      <c r="S37" s="114">
        <f>0.001*Q37</f>
        <v>8.8999999999999996E-2</v>
      </c>
    </row>
    <row r="38" spans="1:21" s="70" customFormat="1" ht="15.6">
      <c r="A38" s="67" t="s">
        <v>5</v>
      </c>
      <c r="B38" s="123" t="s">
        <v>1784</v>
      </c>
      <c r="C38" s="123"/>
    </row>
    <row r="39" spans="1:21">
      <c r="A39" s="71" t="s">
        <v>7</v>
      </c>
      <c r="B39" t="s">
        <v>1654</v>
      </c>
      <c r="D39" s="72"/>
    </row>
    <row r="40" spans="1:21">
      <c r="A40" s="126" t="s">
        <v>9</v>
      </c>
      <c r="B40" t="s">
        <v>1785</v>
      </c>
      <c r="D40" s="72"/>
    </row>
    <row r="41" spans="1:21" ht="15.75" customHeight="1">
      <c r="A41" s="71" t="s">
        <v>11</v>
      </c>
      <c r="B41" s="73" t="s">
        <v>796</v>
      </c>
      <c r="C41" s="73"/>
    </row>
    <row r="42" spans="1:21">
      <c r="A42" s="71" t="s">
        <v>13</v>
      </c>
      <c r="B42" t="s">
        <v>14</v>
      </c>
    </row>
    <row r="43" spans="1:21">
      <c r="A43" s="71" t="s">
        <v>15</v>
      </c>
      <c r="B43" s="23">
        <f>B48</f>
        <v>6.65</v>
      </c>
      <c r="C43" s="23"/>
    </row>
    <row r="44" spans="1:21">
      <c r="A44" s="71" t="s">
        <v>16</v>
      </c>
      <c r="B44" t="s">
        <v>17</v>
      </c>
    </row>
    <row r="45" spans="1:21">
      <c r="A45" s="71" t="s">
        <v>18</v>
      </c>
      <c r="B45" t="s">
        <v>37</v>
      </c>
    </row>
    <row r="46" spans="1:21" ht="15.6">
      <c r="A46" s="75" t="s">
        <v>19</v>
      </c>
    </row>
    <row r="47" spans="1:21" ht="15.6">
      <c r="A47" s="16" t="s">
        <v>20</v>
      </c>
      <c r="B47" s="16" t="s">
        <v>21</v>
      </c>
      <c r="C47" s="77" t="s">
        <v>217</v>
      </c>
      <c r="D47" s="16" t="s">
        <v>18</v>
      </c>
      <c r="E47" s="16" t="s">
        <v>22</v>
      </c>
      <c r="F47" s="16" t="s">
        <v>7</v>
      </c>
      <c r="G47" s="16" t="s">
        <v>13</v>
      </c>
      <c r="H47" s="16" t="s">
        <v>16</v>
      </c>
      <c r="I47" s="16" t="s">
        <v>23</v>
      </c>
      <c r="J47" s="16" t="s">
        <v>24</v>
      </c>
      <c r="K47" s="16" t="s">
        <v>25</v>
      </c>
      <c r="L47" s="16" t="s">
        <v>26</v>
      </c>
      <c r="M47" s="16" t="s">
        <v>27</v>
      </c>
      <c r="N47" s="16" t="s">
        <v>28</v>
      </c>
      <c r="O47" s="16" t="s">
        <v>11</v>
      </c>
      <c r="U47" s="115"/>
    </row>
    <row r="48" spans="1:21">
      <c r="A48" t="s">
        <v>1784</v>
      </c>
      <c r="B48">
        <f>Q48</f>
        <v>6.65</v>
      </c>
      <c r="D48" t="s">
        <v>37</v>
      </c>
      <c r="E48" s="143" t="s">
        <v>1754</v>
      </c>
      <c r="F48" t="s">
        <v>29</v>
      </c>
      <c r="G48" t="s">
        <v>14</v>
      </c>
      <c r="H48" t="s">
        <v>30</v>
      </c>
      <c r="I48">
        <v>2</v>
      </c>
      <c r="J48">
        <f>LN(B48)</f>
        <v>1.8946168546677629</v>
      </c>
      <c r="K48">
        <v>0.10307764064044142</v>
      </c>
      <c r="L48" t="s">
        <v>31</v>
      </c>
      <c r="M48" t="s">
        <v>31</v>
      </c>
      <c r="N48" t="s">
        <v>31</v>
      </c>
      <c r="Q48" s="147">
        <v>6.65</v>
      </c>
    </row>
    <row r="49" spans="1:25" ht="15.6">
      <c r="A49" s="88" t="s">
        <v>905</v>
      </c>
      <c r="B49">
        <f>Q49</f>
        <v>7.05</v>
      </c>
      <c r="D49" t="s">
        <v>37</v>
      </c>
      <c r="E49" s="17" t="s">
        <v>221</v>
      </c>
      <c r="F49" t="s">
        <v>29</v>
      </c>
      <c r="G49" t="s">
        <v>59</v>
      </c>
      <c r="H49" t="s">
        <v>33</v>
      </c>
      <c r="I49">
        <v>2</v>
      </c>
      <c r="J49">
        <f t="shared" ref="J49:J57" si="2">LN(B49)</f>
        <v>1.9530276168241774</v>
      </c>
      <c r="K49">
        <v>4.9999999999998969E-3</v>
      </c>
      <c r="L49" t="s">
        <v>31</v>
      </c>
      <c r="M49" t="s">
        <v>31</v>
      </c>
      <c r="N49" t="s">
        <v>31</v>
      </c>
      <c r="P49" s="101" t="s">
        <v>241</v>
      </c>
      <c r="Q49" s="114">
        <v>7.05</v>
      </c>
    </row>
    <row r="50" spans="1:25" ht="15.6">
      <c r="A50" s="24" t="s">
        <v>69</v>
      </c>
      <c r="B50">
        <f>S50</f>
        <v>1.8746736292428199</v>
      </c>
      <c r="D50" t="s">
        <v>42</v>
      </c>
      <c r="E50" s="17" t="s">
        <v>221</v>
      </c>
      <c r="F50" t="s">
        <v>29</v>
      </c>
      <c r="G50" t="s">
        <v>249</v>
      </c>
      <c r="H50" t="s">
        <v>33</v>
      </c>
      <c r="I50">
        <v>2</v>
      </c>
      <c r="J50">
        <f t="shared" si="2"/>
        <v>0.62843457986757822</v>
      </c>
      <c r="K50">
        <v>4.9999999999998969E-3</v>
      </c>
      <c r="L50" t="s">
        <v>31</v>
      </c>
      <c r="M50" t="s">
        <v>31</v>
      </c>
      <c r="N50" t="s">
        <v>31</v>
      </c>
      <c r="P50" s="101" t="s">
        <v>250</v>
      </c>
      <c r="Q50" s="114">
        <v>71.8</v>
      </c>
      <c r="R50" t="s">
        <v>251</v>
      </c>
      <c r="S50">
        <f>Q50/38.3</f>
        <v>1.8746736292428199</v>
      </c>
      <c r="T50" s="148"/>
      <c r="U50" s="149"/>
      <c r="V50" s="149"/>
      <c r="W50" s="149"/>
      <c r="X50" s="149"/>
      <c r="Y50" s="149"/>
    </row>
    <row r="51" spans="1:25" ht="15.6">
      <c r="A51" s="76" t="s">
        <v>38</v>
      </c>
      <c r="B51" s="122">
        <f>Q51</f>
        <v>17.3</v>
      </c>
      <c r="C51" s="122"/>
      <c r="D51" t="s">
        <v>39</v>
      </c>
      <c r="E51" s="17" t="s">
        <v>221</v>
      </c>
      <c r="F51" t="s">
        <v>29</v>
      </c>
      <c r="G51" s="74" t="s">
        <v>59</v>
      </c>
      <c r="H51" t="s">
        <v>33</v>
      </c>
      <c r="I51">
        <v>2</v>
      </c>
      <c r="J51">
        <f t="shared" si="2"/>
        <v>2.8507065015037334</v>
      </c>
      <c r="K51">
        <v>4.9999999999998969E-3</v>
      </c>
      <c r="L51" t="s">
        <v>31</v>
      </c>
      <c r="M51" t="s">
        <v>31</v>
      </c>
      <c r="N51" t="s">
        <v>31</v>
      </c>
      <c r="P51" s="101" t="s">
        <v>248</v>
      </c>
      <c r="Q51" s="114">
        <v>17.3</v>
      </c>
    </row>
    <row r="52" spans="1:25" ht="15.6">
      <c r="A52" s="88" t="s">
        <v>907</v>
      </c>
      <c r="B52">
        <f>S52</f>
        <v>0.13</v>
      </c>
      <c r="D52" t="s">
        <v>37</v>
      </c>
      <c r="E52" s="17" t="s">
        <v>221</v>
      </c>
      <c r="F52" t="s">
        <v>29</v>
      </c>
      <c r="G52" t="s">
        <v>35</v>
      </c>
      <c r="H52" t="s">
        <v>33</v>
      </c>
      <c r="I52">
        <v>2</v>
      </c>
      <c r="J52">
        <f t="shared" si="2"/>
        <v>-2.0402208285265546</v>
      </c>
      <c r="K52">
        <v>0.10049875621120885</v>
      </c>
      <c r="L52" t="s">
        <v>31</v>
      </c>
      <c r="M52" t="s">
        <v>31</v>
      </c>
      <c r="N52" t="s">
        <v>31</v>
      </c>
      <c r="P52" s="101" t="s">
        <v>580</v>
      </c>
      <c r="Q52" s="114">
        <v>130</v>
      </c>
      <c r="R52" s="101" t="s">
        <v>241</v>
      </c>
      <c r="S52" s="114">
        <f t="shared" ref="S52:S54" si="3">0.001*Q52</f>
        <v>0.13</v>
      </c>
    </row>
    <row r="53" spans="1:25">
      <c r="A53" s="88" t="s">
        <v>908</v>
      </c>
      <c r="B53">
        <f>S53</f>
        <v>2.7000000000000001E-3</v>
      </c>
      <c r="D53" t="s">
        <v>37</v>
      </c>
      <c r="E53" t="s">
        <v>43</v>
      </c>
      <c r="F53" t="s">
        <v>44</v>
      </c>
      <c r="G53" t="s">
        <v>29</v>
      </c>
      <c r="H53" t="s">
        <v>45</v>
      </c>
      <c r="I53">
        <v>2</v>
      </c>
      <c r="J53">
        <f t="shared" si="2"/>
        <v>-5.9145035059718536</v>
      </c>
      <c r="K53">
        <v>4.9999999999998969E-3</v>
      </c>
      <c r="L53" t="s">
        <v>31</v>
      </c>
      <c r="M53" t="s">
        <v>31</v>
      </c>
      <c r="N53" t="s">
        <v>31</v>
      </c>
      <c r="P53" s="116" t="s">
        <v>580</v>
      </c>
      <c r="Q53" s="150">
        <v>2.7</v>
      </c>
      <c r="R53" s="101" t="s">
        <v>241</v>
      </c>
      <c r="S53" s="114">
        <f t="shared" si="3"/>
        <v>2.7000000000000001E-3</v>
      </c>
    </row>
    <row r="54" spans="1:25" ht="15.6">
      <c r="A54" s="76" t="s">
        <v>758</v>
      </c>
      <c r="B54">
        <f>S54</f>
        <v>6.7000000000000002E-3</v>
      </c>
      <c r="D54" t="s">
        <v>37</v>
      </c>
      <c r="E54" s="17" t="s">
        <v>43</v>
      </c>
      <c r="F54" t="s">
        <v>44</v>
      </c>
      <c r="G54" s="74" t="s">
        <v>29</v>
      </c>
      <c r="H54" t="s">
        <v>45</v>
      </c>
      <c r="I54">
        <v>2</v>
      </c>
      <c r="J54">
        <f t="shared" si="2"/>
        <v>-5.005647752585217</v>
      </c>
      <c r="K54">
        <v>8.9582364335844641E-2</v>
      </c>
      <c r="L54" t="s">
        <v>31</v>
      </c>
      <c r="M54" t="s">
        <v>31</v>
      </c>
      <c r="N54" t="s">
        <v>31</v>
      </c>
      <c r="P54" s="116" t="s">
        <v>580</v>
      </c>
      <c r="Q54" s="150">
        <v>6.7</v>
      </c>
      <c r="R54" s="101" t="s">
        <v>241</v>
      </c>
      <c r="S54" s="114">
        <f t="shared" si="3"/>
        <v>6.7000000000000002E-3</v>
      </c>
    </row>
    <row r="55" spans="1:25" ht="15.6">
      <c r="A55" s="146" t="s">
        <v>265</v>
      </c>
      <c r="B55">
        <f>Q56</f>
        <v>0.4</v>
      </c>
      <c r="C55" s="59" t="s">
        <v>266</v>
      </c>
      <c r="D55" t="s">
        <v>37</v>
      </c>
      <c r="E55" s="17" t="s">
        <v>221</v>
      </c>
      <c r="F55" t="s">
        <v>29</v>
      </c>
      <c r="G55" s="74" t="s">
        <v>35</v>
      </c>
      <c r="H55" t="s">
        <v>33</v>
      </c>
      <c r="I55">
        <v>2</v>
      </c>
      <c r="J55">
        <f t="shared" si="2"/>
        <v>-0.916290731874155</v>
      </c>
      <c r="K55">
        <v>9.6046863561492793E-2</v>
      </c>
      <c r="L55" t="s">
        <v>31</v>
      </c>
      <c r="M55" t="s">
        <v>31</v>
      </c>
      <c r="N55" t="s">
        <v>31</v>
      </c>
      <c r="P55" s="118" t="s">
        <v>241</v>
      </c>
      <c r="Q55" s="119">
        <v>0.4</v>
      </c>
      <c r="R55" s="128"/>
      <c r="S55" s="129"/>
    </row>
    <row r="56" spans="1:25" ht="15.6">
      <c r="A56" s="59" t="s">
        <v>263</v>
      </c>
      <c r="B56">
        <f>Q56</f>
        <v>0.4</v>
      </c>
      <c r="D56" t="s">
        <v>37</v>
      </c>
      <c r="E56" s="17" t="s">
        <v>221</v>
      </c>
      <c r="F56" t="s">
        <v>29</v>
      </c>
      <c r="G56" t="s">
        <v>35</v>
      </c>
      <c r="H56" t="s">
        <v>33</v>
      </c>
      <c r="I56">
        <v>2</v>
      </c>
      <c r="J56">
        <f t="shared" si="2"/>
        <v>-0.916290731874155</v>
      </c>
      <c r="K56">
        <v>4.9999999999998969E-3</v>
      </c>
      <c r="L56" t="s">
        <v>31</v>
      </c>
      <c r="M56" t="s">
        <v>31</v>
      </c>
      <c r="N56" t="s">
        <v>31</v>
      </c>
      <c r="P56" s="118" t="s">
        <v>241</v>
      </c>
      <c r="Q56" s="119">
        <v>0.4</v>
      </c>
    </row>
    <row r="57" spans="1:25" ht="15.6">
      <c r="A57" s="88" t="s">
        <v>905</v>
      </c>
      <c r="B57">
        <f>Q56</f>
        <v>0.4</v>
      </c>
      <c r="D57" t="s">
        <v>37</v>
      </c>
      <c r="E57" s="17" t="s">
        <v>221</v>
      </c>
      <c r="F57" t="s">
        <v>29</v>
      </c>
      <c r="G57" t="s">
        <v>59</v>
      </c>
      <c r="H57" t="s">
        <v>136</v>
      </c>
      <c r="I57">
        <v>2</v>
      </c>
      <c r="J57">
        <f t="shared" si="2"/>
        <v>-0.916290731874155</v>
      </c>
      <c r="K57">
        <v>4.9999999999998969E-3</v>
      </c>
      <c r="L57" t="s">
        <v>31</v>
      </c>
      <c r="M57" t="s">
        <v>31</v>
      </c>
      <c r="N57" t="s">
        <v>31</v>
      </c>
      <c r="P57" s="118" t="s">
        <v>241</v>
      </c>
      <c r="Q57" s="119">
        <v>0.4</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BBEFA-DBEF-4073-9914-390FA23CE6C4}">
  <dimension ref="A1:O51"/>
  <sheetViews>
    <sheetView workbookViewId="0">
      <selection activeCell="D18" sqref="D18"/>
    </sheetView>
  </sheetViews>
  <sheetFormatPr defaultColWidth="8.85546875" defaultRowHeight="14.45"/>
  <cols>
    <col min="1" max="1" width="33" style="24" bestFit="1" customWidth="1"/>
    <col min="2" max="2" width="39" style="24" bestFit="1" customWidth="1"/>
    <col min="3" max="3" width="11.5703125" style="24" bestFit="1" customWidth="1"/>
    <col min="4" max="4" width="31" style="24" bestFit="1" customWidth="1"/>
    <col min="5" max="5" width="12" style="24" customWidth="1"/>
    <col min="6" max="6" width="8.85546875" style="24"/>
    <col min="7" max="7" width="11.5703125" style="24" bestFit="1" customWidth="1"/>
    <col min="8" max="8" width="16.140625" style="24" customWidth="1"/>
    <col min="9" max="11" width="8.85546875" style="24"/>
    <col min="12" max="13" width="11.28515625" style="24" customWidth="1"/>
    <col min="14" max="14" width="12.140625" style="24" customWidth="1"/>
    <col min="15" max="15" width="15.7109375" style="24" customWidth="1"/>
    <col min="16" max="16384" width="8.85546875" style="24"/>
  </cols>
  <sheetData>
    <row r="1" spans="1:15">
      <c r="A1" s="24" t="s">
        <v>0</v>
      </c>
      <c r="B1" s="24">
        <v>13</v>
      </c>
      <c r="C1" s="25"/>
      <c r="O1" s="27" t="str">
        <f ca="1">UPPER(CONCATENATE(DEC2HEX(RANDBETWEEN(0,POWER(16,8)),8),DEC2HEX(RANDBETWEEN(0,POWER(16,4)),4),"4",DEC2HEX(RANDBETWEEN(0,POWER(16,3)),3),DEC2HEX(RANDBETWEEN(8,11)),DEC2HEX(RANDBETWEEN(0,POWER(16,3)),3),DEC2HEX(RANDBETWEEN(0,POWER(16,8)),8),DEC2HEX(RANDBETWEEN(0,POWER(16,4)),4)))</f>
        <v>853DEFF9BDB641DC95C47D6A2DD8FAD5</v>
      </c>
    </row>
    <row r="2" spans="1:15" ht="15.6">
      <c r="A2" s="28" t="s">
        <v>5</v>
      </c>
      <c r="B2" s="28" t="s">
        <v>183</v>
      </c>
      <c r="C2" s="29"/>
      <c r="D2" s="30"/>
      <c r="E2" s="30"/>
      <c r="F2" s="30"/>
      <c r="G2" s="30"/>
      <c r="H2" s="30"/>
      <c r="I2" s="30"/>
      <c r="J2" s="30"/>
      <c r="K2" s="30"/>
      <c r="L2" s="30"/>
      <c r="M2" s="30"/>
      <c r="N2" s="30"/>
    </row>
    <row r="3" spans="1:15" s="27" customFormat="1" ht="12.95">
      <c r="A3" s="27" t="s">
        <v>7</v>
      </c>
      <c r="B3" s="27" t="s">
        <v>184</v>
      </c>
    </row>
    <row r="4" spans="1:15" s="27" customFormat="1" ht="12.95">
      <c r="A4" s="27" t="s">
        <v>9</v>
      </c>
      <c r="B4" s="27" t="s">
        <v>185</v>
      </c>
    </row>
    <row r="5" spans="1:15" s="27" customFormat="1" ht="12.95">
      <c r="A5" s="27" t="s">
        <v>11</v>
      </c>
      <c r="B5" s="27" t="s">
        <v>186</v>
      </c>
    </row>
    <row r="6" spans="1:15" s="27" customFormat="1" ht="12.95">
      <c r="A6" s="27" t="s">
        <v>13</v>
      </c>
      <c r="B6" s="27" t="s">
        <v>14</v>
      </c>
    </row>
    <row r="7" spans="1:15" s="27" customFormat="1" ht="12.95">
      <c r="A7" s="27" t="s">
        <v>15</v>
      </c>
      <c r="B7" s="37">
        <v>1</v>
      </c>
    </row>
    <row r="8" spans="1:15" s="27" customFormat="1" ht="12.95">
      <c r="A8" s="27" t="s">
        <v>16</v>
      </c>
      <c r="B8" s="27" t="s">
        <v>17</v>
      </c>
    </row>
    <row r="9" spans="1:15" s="27" customFormat="1" ht="12.95">
      <c r="A9" s="27" t="s">
        <v>18</v>
      </c>
      <c r="B9" s="27" t="s">
        <v>37</v>
      </c>
    </row>
    <row r="10" spans="1:15" ht="15.6">
      <c r="A10" s="26" t="s">
        <v>19</v>
      </c>
    </row>
    <row r="11" spans="1:15"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row>
    <row r="12" spans="1:15" s="27" customFormat="1" ht="12.95">
      <c r="A12" s="27" t="s">
        <v>183</v>
      </c>
      <c r="B12" s="27">
        <f>B7</f>
        <v>1</v>
      </c>
      <c r="C12" s="27" t="str">
        <f>B9</f>
        <v>kilogram</v>
      </c>
      <c r="D12" s="27" t="s">
        <v>2</v>
      </c>
      <c r="E12" s="27" t="s">
        <v>29</v>
      </c>
      <c r="F12" s="27" t="str">
        <f>B6</f>
        <v>EUR</v>
      </c>
      <c r="G12" s="27" t="s">
        <v>30</v>
      </c>
      <c r="H12" s="27">
        <v>0</v>
      </c>
      <c r="I12" s="27">
        <f t="shared" ref="I12:I17" si="0">B12</f>
        <v>1</v>
      </c>
      <c r="J12" s="27" t="s">
        <v>31</v>
      </c>
      <c r="K12" s="27" t="s">
        <v>31</v>
      </c>
      <c r="L12" s="27" t="s">
        <v>31</v>
      </c>
      <c r="M12" s="27" t="s">
        <v>31</v>
      </c>
    </row>
    <row r="13" spans="1:15" s="27" customFormat="1" ht="12.95">
      <c r="A13" s="37" t="s">
        <v>188</v>
      </c>
      <c r="B13" s="214">
        <f>1/(((60000+90000)/2)*50000/24)</f>
        <v>6.4000000000000002E-9</v>
      </c>
      <c r="C13" s="27" t="s">
        <v>18</v>
      </c>
      <c r="D13" s="27" t="s">
        <v>2</v>
      </c>
      <c r="E13" s="27" t="s">
        <v>29</v>
      </c>
      <c r="F13" s="27" t="s">
        <v>14</v>
      </c>
      <c r="G13" s="27" t="s">
        <v>33</v>
      </c>
      <c r="H13" s="27">
        <v>0</v>
      </c>
      <c r="I13" s="27">
        <f t="shared" si="0"/>
        <v>6.4000000000000002E-9</v>
      </c>
      <c r="J13" s="27" t="s">
        <v>31</v>
      </c>
      <c r="K13" s="27" t="s">
        <v>31</v>
      </c>
      <c r="L13" s="27" t="s">
        <v>31</v>
      </c>
      <c r="M13" s="27" t="s">
        <v>31</v>
      </c>
      <c r="N13" s="27" t="s">
        <v>189</v>
      </c>
    </row>
    <row r="14" spans="1:15" s="27" customFormat="1" ht="12.95">
      <c r="A14" s="27" t="s">
        <v>38</v>
      </c>
      <c r="B14" s="27">
        <v>47</v>
      </c>
      <c r="C14" s="42" t="s">
        <v>39</v>
      </c>
      <c r="D14" s="27" t="s">
        <v>40</v>
      </c>
      <c r="E14" s="27" t="s">
        <v>29</v>
      </c>
      <c r="F14" s="27" t="s">
        <v>14</v>
      </c>
      <c r="G14" s="27" t="s">
        <v>33</v>
      </c>
      <c r="H14" s="27">
        <v>0</v>
      </c>
      <c r="I14" s="27">
        <f t="shared" si="0"/>
        <v>47</v>
      </c>
      <c r="J14" s="27" t="s">
        <v>31</v>
      </c>
      <c r="K14" s="27" t="s">
        <v>31</v>
      </c>
      <c r="L14" s="27" t="s">
        <v>31</v>
      </c>
      <c r="M14" s="27" t="s">
        <v>31</v>
      </c>
      <c r="N14" s="37" t="s">
        <v>190</v>
      </c>
    </row>
    <row r="15" spans="1:15" s="27" customFormat="1" ht="12.95">
      <c r="A15" s="37" t="s">
        <v>191</v>
      </c>
      <c r="B15" s="42">
        <v>9</v>
      </c>
      <c r="C15" s="27" t="s">
        <v>37</v>
      </c>
      <c r="D15" s="27" t="s">
        <v>40</v>
      </c>
      <c r="E15" s="27" t="s">
        <v>29</v>
      </c>
      <c r="F15" s="27" t="s">
        <v>35</v>
      </c>
      <c r="G15" s="27" t="s">
        <v>33</v>
      </c>
      <c r="H15" s="27">
        <v>0</v>
      </c>
      <c r="I15" s="27">
        <f t="shared" si="0"/>
        <v>9</v>
      </c>
      <c r="J15" s="27" t="s">
        <v>31</v>
      </c>
      <c r="K15" s="27" t="s">
        <v>31</v>
      </c>
      <c r="L15" s="27" t="s">
        <v>31</v>
      </c>
      <c r="M15" s="27" t="s">
        <v>31</v>
      </c>
      <c r="N15" s="27" t="s">
        <v>192</v>
      </c>
    </row>
    <row r="16" spans="1:15" s="27" customFormat="1" ht="12.95">
      <c r="A16" s="37" t="s">
        <v>193</v>
      </c>
      <c r="B16" s="215">
        <f>1/1000</f>
        <v>1E-3</v>
      </c>
      <c r="C16" s="27" t="s">
        <v>37</v>
      </c>
      <c r="D16" s="27" t="s">
        <v>40</v>
      </c>
      <c r="E16" s="27" t="s">
        <v>29</v>
      </c>
      <c r="F16" s="27" t="s">
        <v>59</v>
      </c>
      <c r="G16" s="27" t="s">
        <v>33</v>
      </c>
      <c r="H16" s="27">
        <v>0</v>
      </c>
      <c r="I16" s="27">
        <f t="shared" si="0"/>
        <v>1E-3</v>
      </c>
      <c r="J16" s="27" t="s">
        <v>31</v>
      </c>
      <c r="K16" s="27" t="s">
        <v>31</v>
      </c>
      <c r="L16" s="27" t="s">
        <v>31</v>
      </c>
      <c r="M16" s="27" t="s">
        <v>31</v>
      </c>
      <c r="N16" s="27" t="s">
        <v>194</v>
      </c>
    </row>
    <row r="17" spans="1:14" s="27" customFormat="1" ht="12.95">
      <c r="A17" s="37" t="s">
        <v>195</v>
      </c>
      <c r="B17" s="42">
        <v>8</v>
      </c>
      <c r="C17" s="27" t="s">
        <v>37</v>
      </c>
      <c r="D17" s="27" t="s">
        <v>43</v>
      </c>
      <c r="E17" s="27" t="s">
        <v>44</v>
      </c>
      <c r="F17" s="27" t="s">
        <v>31</v>
      </c>
      <c r="G17" s="27" t="s">
        <v>45</v>
      </c>
      <c r="H17" s="27">
        <v>0</v>
      </c>
      <c r="I17" s="27">
        <f t="shared" si="0"/>
        <v>8</v>
      </c>
      <c r="J17" s="27" t="s">
        <v>31</v>
      </c>
      <c r="K17" s="27" t="s">
        <v>31</v>
      </c>
      <c r="L17" s="27" t="s">
        <v>31</v>
      </c>
      <c r="M17" s="27" t="s">
        <v>31</v>
      </c>
      <c r="N17" s="27" t="s">
        <v>196</v>
      </c>
    </row>
    <row r="18" spans="1:14" s="27" customFormat="1" ht="15.6">
      <c r="A18" s="28" t="s">
        <v>5</v>
      </c>
      <c r="B18" s="28" t="s">
        <v>197</v>
      </c>
      <c r="C18" s="29"/>
      <c r="D18" s="30"/>
      <c r="E18" s="30"/>
      <c r="F18" s="30"/>
      <c r="G18" s="30"/>
      <c r="H18" s="30"/>
      <c r="I18" s="30"/>
      <c r="J18" s="30"/>
      <c r="K18" s="30"/>
      <c r="L18" s="30"/>
      <c r="M18" s="30"/>
      <c r="N18" s="30"/>
    </row>
    <row r="19" spans="1:14" s="27" customFormat="1" ht="12.95">
      <c r="A19" s="27" t="s">
        <v>7</v>
      </c>
      <c r="B19" s="27" t="s">
        <v>184</v>
      </c>
    </row>
    <row r="20" spans="1:14" s="27" customFormat="1" ht="12.95">
      <c r="A20" s="27" t="s">
        <v>9</v>
      </c>
      <c r="B20" s="27" t="s">
        <v>198</v>
      </c>
    </row>
    <row r="21" spans="1:14" s="27" customFormat="1" ht="12.95">
      <c r="A21" s="27" t="s">
        <v>11</v>
      </c>
      <c r="B21" s="27" t="s">
        <v>199</v>
      </c>
    </row>
    <row r="22" spans="1:14">
      <c r="A22" s="27" t="s">
        <v>13</v>
      </c>
      <c r="B22" s="27" t="s">
        <v>14</v>
      </c>
      <c r="C22" s="27"/>
      <c r="D22" s="27"/>
      <c r="E22" s="27"/>
      <c r="F22" s="27"/>
      <c r="G22" s="27"/>
      <c r="H22" s="27"/>
      <c r="I22" s="27"/>
      <c r="J22" s="27"/>
      <c r="K22" s="27"/>
      <c r="L22" s="27"/>
      <c r="M22" s="27"/>
      <c r="N22" s="27"/>
    </row>
    <row r="23" spans="1:14">
      <c r="A23" s="27" t="s">
        <v>15</v>
      </c>
      <c r="B23" s="37">
        <v>1</v>
      </c>
      <c r="C23" s="27"/>
      <c r="D23" s="27"/>
      <c r="E23" s="27"/>
      <c r="F23" s="27"/>
      <c r="G23" s="27"/>
      <c r="H23" s="27"/>
      <c r="I23" s="27"/>
      <c r="J23" s="27"/>
      <c r="K23" s="27"/>
      <c r="L23" s="27"/>
      <c r="M23" s="27"/>
      <c r="N23" s="27"/>
    </row>
    <row r="24" spans="1:14">
      <c r="A24" s="27" t="s">
        <v>16</v>
      </c>
      <c r="B24" s="27" t="s">
        <v>17</v>
      </c>
      <c r="C24" s="27"/>
      <c r="D24" s="27"/>
      <c r="E24" s="27"/>
      <c r="F24" s="27"/>
      <c r="G24" s="27"/>
      <c r="H24" s="27"/>
      <c r="I24" s="27"/>
      <c r="J24" s="27"/>
      <c r="K24" s="27"/>
      <c r="L24" s="27"/>
      <c r="M24" s="27"/>
      <c r="N24" s="27"/>
    </row>
    <row r="25" spans="1:14">
      <c r="A25" s="27" t="s">
        <v>18</v>
      </c>
      <c r="B25" s="27" t="s">
        <v>37</v>
      </c>
      <c r="C25" s="27"/>
      <c r="D25" s="27"/>
      <c r="E25" s="27"/>
      <c r="F25" s="27"/>
      <c r="G25" s="27"/>
      <c r="H25" s="27"/>
      <c r="I25" s="27"/>
      <c r="J25" s="27"/>
      <c r="K25" s="27"/>
      <c r="L25" s="27"/>
      <c r="M25" s="27"/>
      <c r="N25" s="27"/>
    </row>
    <row r="26" spans="1:14" ht="15.6">
      <c r="A26" s="26" t="s">
        <v>19</v>
      </c>
    </row>
    <row r="27" spans="1:14" ht="15.6">
      <c r="A27" s="26" t="s">
        <v>20</v>
      </c>
      <c r="B27" s="26" t="s">
        <v>21</v>
      </c>
      <c r="C27" s="26" t="s">
        <v>18</v>
      </c>
      <c r="D27" s="26" t="s">
        <v>22</v>
      </c>
      <c r="E27" s="26" t="s">
        <v>7</v>
      </c>
      <c r="F27" s="26" t="s">
        <v>13</v>
      </c>
      <c r="G27" s="26" t="s">
        <v>16</v>
      </c>
      <c r="H27" s="26" t="s">
        <v>23</v>
      </c>
      <c r="I27" s="26" t="s">
        <v>24</v>
      </c>
      <c r="J27" s="26" t="s">
        <v>25</v>
      </c>
      <c r="K27" s="26" t="s">
        <v>26</v>
      </c>
      <c r="L27" s="26" t="s">
        <v>27</v>
      </c>
      <c r="M27" s="26" t="s">
        <v>28</v>
      </c>
      <c r="N27" s="26" t="s">
        <v>187</v>
      </c>
    </row>
    <row r="28" spans="1:14">
      <c r="A28" s="27" t="s">
        <v>197</v>
      </c>
      <c r="B28" s="216">
        <f>B23</f>
        <v>1</v>
      </c>
      <c r="C28" s="27" t="str">
        <f>B25</f>
        <v>kilogram</v>
      </c>
      <c r="D28" s="27" t="s">
        <v>2</v>
      </c>
      <c r="E28" s="27" t="s">
        <v>29</v>
      </c>
      <c r="F28" s="27" t="str">
        <f>B22</f>
        <v>EUR</v>
      </c>
      <c r="G28" s="27" t="s">
        <v>30</v>
      </c>
      <c r="H28" s="27">
        <v>0</v>
      </c>
      <c r="I28" s="27">
        <f>B28</f>
        <v>1</v>
      </c>
      <c r="J28" s="27" t="s">
        <v>31</v>
      </c>
      <c r="K28" s="27" t="s">
        <v>31</v>
      </c>
      <c r="L28" s="27" t="s">
        <v>31</v>
      </c>
      <c r="M28" s="27" t="s">
        <v>31</v>
      </c>
      <c r="N28" s="27"/>
    </row>
    <row r="29" spans="1:14">
      <c r="A29" s="27" t="s">
        <v>200</v>
      </c>
      <c r="B29" s="214">
        <f>1/(16666667*30)</f>
        <v>1.9999999600000008E-9</v>
      </c>
      <c r="C29" s="27" t="s">
        <v>18</v>
      </c>
      <c r="D29" s="27" t="s">
        <v>2</v>
      </c>
      <c r="E29" s="27" t="s">
        <v>29</v>
      </c>
      <c r="F29" s="27" t="s">
        <v>14</v>
      </c>
      <c r="G29" s="27" t="s">
        <v>33</v>
      </c>
      <c r="H29" s="27">
        <v>0</v>
      </c>
      <c r="I29" s="27">
        <f>B29</f>
        <v>1.9999999600000008E-9</v>
      </c>
      <c r="J29" s="27" t="s">
        <v>31</v>
      </c>
      <c r="K29" s="27" t="s">
        <v>31</v>
      </c>
      <c r="L29" s="27" t="s">
        <v>31</v>
      </c>
      <c r="M29" s="27" t="s">
        <v>31</v>
      </c>
      <c r="N29" s="27" t="s">
        <v>201</v>
      </c>
    </row>
    <row r="30" spans="1:14">
      <c r="A30" s="37" t="s">
        <v>183</v>
      </c>
      <c r="B30" s="216">
        <v>1.0165</v>
      </c>
      <c r="C30" s="27" t="s">
        <v>37</v>
      </c>
      <c r="D30" s="27" t="s">
        <v>2</v>
      </c>
      <c r="E30" s="27" t="s">
        <v>29</v>
      </c>
      <c r="F30" s="27" t="s">
        <v>14</v>
      </c>
      <c r="G30" s="27" t="s">
        <v>33</v>
      </c>
      <c r="H30" s="27">
        <v>2</v>
      </c>
      <c r="I30" s="27">
        <f>LN(B30)</f>
        <v>1.636535408626423E-2</v>
      </c>
      <c r="J30" s="27">
        <v>0.22500000000000006</v>
      </c>
      <c r="K30" s="27" t="s">
        <v>31</v>
      </c>
      <c r="L30" s="27" t="s">
        <v>31</v>
      </c>
      <c r="M30" s="27" t="s">
        <v>31</v>
      </c>
      <c r="N30" s="27"/>
    </row>
    <row r="31" spans="1:14">
      <c r="A31" s="27" t="s">
        <v>202</v>
      </c>
      <c r="B31" s="214">
        <f>1.315568531/(16666667*30)</f>
        <v>2.6311370093772598E-9</v>
      </c>
      <c r="C31" s="42" t="s">
        <v>37</v>
      </c>
      <c r="D31" s="27" t="s">
        <v>40</v>
      </c>
      <c r="E31" s="27" t="s">
        <v>29</v>
      </c>
      <c r="F31" s="27" t="s">
        <v>82</v>
      </c>
      <c r="G31" s="27" t="s">
        <v>33</v>
      </c>
      <c r="H31" s="27">
        <v>2</v>
      </c>
      <c r="I31" s="27">
        <f t="shared" ref="I31:I37" si="1">LN(B31)</f>
        <v>-19.755849761224248</v>
      </c>
      <c r="J31" s="27">
        <v>0.22500000000000006</v>
      </c>
      <c r="K31" s="27" t="s">
        <v>31</v>
      </c>
      <c r="L31" s="27" t="s">
        <v>31</v>
      </c>
      <c r="M31" s="27" t="s">
        <v>31</v>
      </c>
      <c r="N31" s="37" t="s">
        <v>203</v>
      </c>
    </row>
    <row r="32" spans="1:14">
      <c r="A32" s="37" t="s">
        <v>204</v>
      </c>
      <c r="B32" s="214">
        <f>4.220239644/(16666667*30)</f>
        <v>8.4404791191904185E-9</v>
      </c>
      <c r="C32" s="27" t="s">
        <v>37</v>
      </c>
      <c r="D32" s="27" t="s">
        <v>40</v>
      </c>
      <c r="E32" s="27" t="s">
        <v>29</v>
      </c>
      <c r="F32" s="27" t="s">
        <v>59</v>
      </c>
      <c r="G32" s="27" t="s">
        <v>33</v>
      </c>
      <c r="H32" s="27">
        <v>2</v>
      </c>
      <c r="I32" s="27">
        <f t="shared" si="1"/>
        <v>-18.590226762273179</v>
      </c>
      <c r="J32" s="27">
        <v>0.22500000000000006</v>
      </c>
      <c r="K32" s="27" t="s">
        <v>31</v>
      </c>
      <c r="L32" s="27" t="s">
        <v>31</v>
      </c>
      <c r="M32" s="27" t="s">
        <v>31</v>
      </c>
      <c r="N32" s="37" t="s">
        <v>203</v>
      </c>
    </row>
    <row r="33" spans="1:14">
      <c r="A33" s="37" t="s">
        <v>205</v>
      </c>
      <c r="B33" s="214">
        <f>3.568968094/(16666667*30)</f>
        <v>7.137936045241279E-9</v>
      </c>
      <c r="C33" s="27" t="s">
        <v>37</v>
      </c>
      <c r="D33" s="27" t="s">
        <v>40</v>
      </c>
      <c r="E33" s="27" t="s">
        <v>29</v>
      </c>
      <c r="F33" s="27" t="s">
        <v>59</v>
      </c>
      <c r="G33" s="27" t="s">
        <v>33</v>
      </c>
      <c r="H33" s="27">
        <v>2</v>
      </c>
      <c r="I33" s="27">
        <f t="shared" si="1"/>
        <v>-18.757842171677439</v>
      </c>
      <c r="J33" s="27">
        <v>0.22500000000000006</v>
      </c>
      <c r="K33" s="27" t="s">
        <v>31</v>
      </c>
      <c r="L33" s="27" t="s">
        <v>31</v>
      </c>
      <c r="M33" s="27" t="s">
        <v>31</v>
      </c>
      <c r="N33" s="37" t="s">
        <v>203</v>
      </c>
    </row>
    <row r="34" spans="1:14">
      <c r="A34" s="37" t="s">
        <v>206</v>
      </c>
      <c r="B34" s="214">
        <f>0.403788361/(16666667*30)</f>
        <v>8.0757670584846585E-10</v>
      </c>
      <c r="C34" s="27" t="s">
        <v>37</v>
      </c>
      <c r="D34" s="27" t="s">
        <v>40</v>
      </c>
      <c r="E34" s="27" t="s">
        <v>29</v>
      </c>
      <c r="F34" s="27" t="s">
        <v>59</v>
      </c>
      <c r="G34" s="27" t="s">
        <v>33</v>
      </c>
      <c r="H34" s="27">
        <v>2</v>
      </c>
      <c r="I34" s="27">
        <f t="shared" si="1"/>
        <v>-20.936983073580361</v>
      </c>
      <c r="J34" s="27">
        <v>0.22500000000000006</v>
      </c>
      <c r="K34" s="27" t="s">
        <v>31</v>
      </c>
      <c r="L34" s="27" t="s">
        <v>31</v>
      </c>
      <c r="M34" s="27" t="s">
        <v>31</v>
      </c>
      <c r="N34" s="37" t="s">
        <v>203</v>
      </c>
    </row>
    <row r="35" spans="1:14">
      <c r="A35" s="37" t="s">
        <v>207</v>
      </c>
      <c r="B35" s="214">
        <f>3.51686637/(16666667*30)</f>
        <v>7.0337325993253476E-9</v>
      </c>
      <c r="C35" s="27" t="s">
        <v>37</v>
      </c>
      <c r="D35" s="27" t="s">
        <v>40</v>
      </c>
      <c r="E35" s="27" t="s">
        <v>29</v>
      </c>
      <c r="F35" s="27" t="s">
        <v>59</v>
      </c>
      <c r="G35" s="27" t="s">
        <v>33</v>
      </c>
      <c r="H35" s="27">
        <v>2</v>
      </c>
      <c r="I35" s="27">
        <f t="shared" si="1"/>
        <v>-18.772548319067134</v>
      </c>
      <c r="J35" s="27">
        <v>0.22500000000000006</v>
      </c>
      <c r="K35" s="27" t="s">
        <v>31</v>
      </c>
      <c r="L35" s="27" t="s">
        <v>31</v>
      </c>
      <c r="M35" s="27" t="s">
        <v>31</v>
      </c>
      <c r="N35" s="37" t="s">
        <v>203</v>
      </c>
    </row>
    <row r="36" spans="1:14">
      <c r="A36" s="37" t="s">
        <v>38</v>
      </c>
      <c r="B36" s="216">
        <v>10.2049</v>
      </c>
      <c r="C36" s="27" t="s">
        <v>39</v>
      </c>
      <c r="D36" s="27" t="s">
        <v>40</v>
      </c>
      <c r="E36" s="27" t="s">
        <v>29</v>
      </c>
      <c r="F36" s="27" t="s">
        <v>14</v>
      </c>
      <c r="G36" s="27" t="s">
        <v>33</v>
      </c>
      <c r="H36" s="27">
        <v>2</v>
      </c>
      <c r="I36" s="27">
        <f t="shared" si="1"/>
        <v>2.3228679970957171</v>
      </c>
      <c r="J36" s="27">
        <v>0.22500000000000006</v>
      </c>
      <c r="K36" s="27" t="s">
        <v>31</v>
      </c>
      <c r="L36" s="27" t="s">
        <v>31</v>
      </c>
      <c r="M36" s="27" t="s">
        <v>31</v>
      </c>
      <c r="N36" s="37" t="s">
        <v>203</v>
      </c>
    </row>
    <row r="37" spans="1:14">
      <c r="A37" s="37" t="s">
        <v>75</v>
      </c>
      <c r="B37" s="216">
        <f>0.015*1000</f>
        <v>15</v>
      </c>
      <c r="C37" s="27" t="s">
        <v>37</v>
      </c>
      <c r="D37" s="27" t="s">
        <v>40</v>
      </c>
      <c r="E37" s="27" t="s">
        <v>29</v>
      </c>
      <c r="F37" s="27" t="s">
        <v>59</v>
      </c>
      <c r="G37" s="27" t="s">
        <v>33</v>
      </c>
      <c r="H37" s="27">
        <v>2</v>
      </c>
      <c r="I37" s="27">
        <f t="shared" si="1"/>
        <v>2.7080502011022101</v>
      </c>
      <c r="J37" s="27">
        <v>0.22500000000000006</v>
      </c>
      <c r="K37" s="27" t="s">
        <v>31</v>
      </c>
      <c r="L37" s="27" t="s">
        <v>31</v>
      </c>
      <c r="M37" s="27" t="s">
        <v>31</v>
      </c>
      <c r="N37" s="37"/>
    </row>
    <row r="38" spans="1:14">
      <c r="A38" s="37" t="s">
        <v>208</v>
      </c>
      <c r="B38" s="216">
        <v>1.6498815311874998E-2</v>
      </c>
      <c r="C38" s="27" t="s">
        <v>37</v>
      </c>
      <c r="D38" s="27" t="s">
        <v>43</v>
      </c>
      <c r="E38" s="27" t="s">
        <v>44</v>
      </c>
      <c r="F38" s="27" t="s">
        <v>31</v>
      </c>
      <c r="G38" s="27" t="s">
        <v>45</v>
      </c>
      <c r="H38" s="27">
        <v>2</v>
      </c>
      <c r="I38" s="27">
        <f>LN(B38)</f>
        <v>-4.1044666999335968</v>
      </c>
      <c r="J38" s="27">
        <v>0.22500000000000006</v>
      </c>
      <c r="K38" s="27" t="s">
        <v>31</v>
      </c>
      <c r="L38" s="27" t="s">
        <v>31</v>
      </c>
      <c r="M38" s="27" t="s">
        <v>31</v>
      </c>
      <c r="N38" s="37"/>
    </row>
    <row r="39" spans="1:14" ht="15.6">
      <c r="A39" s="28" t="s">
        <v>5</v>
      </c>
      <c r="B39" s="28" t="s">
        <v>36</v>
      </c>
      <c r="C39" s="29"/>
      <c r="D39" s="30"/>
      <c r="E39" s="30"/>
      <c r="F39" s="30"/>
      <c r="G39" s="30"/>
      <c r="H39" s="30"/>
      <c r="I39" s="30"/>
      <c r="J39" s="30"/>
      <c r="K39" s="30"/>
      <c r="L39" s="30"/>
      <c r="M39" s="30"/>
      <c r="N39" s="30"/>
    </row>
    <row r="40" spans="1:14">
      <c r="A40" s="27" t="s">
        <v>7</v>
      </c>
      <c r="B40" s="27" t="s">
        <v>184</v>
      </c>
      <c r="C40" s="27"/>
      <c r="D40" s="27"/>
      <c r="E40" s="27"/>
      <c r="F40" s="27"/>
      <c r="G40" s="27"/>
      <c r="H40" s="27"/>
      <c r="I40" s="27"/>
      <c r="J40" s="27"/>
      <c r="K40" s="27"/>
      <c r="L40" s="27"/>
      <c r="M40" s="27"/>
      <c r="N40" s="27"/>
    </row>
    <row r="41" spans="1:14">
      <c r="A41" s="27" t="s">
        <v>9</v>
      </c>
      <c r="B41" s="27" t="s">
        <v>209</v>
      </c>
      <c r="C41" s="27"/>
      <c r="D41" s="27"/>
      <c r="E41" s="27"/>
      <c r="F41" s="27"/>
      <c r="G41" s="27"/>
      <c r="H41" s="27"/>
      <c r="I41" s="27"/>
      <c r="J41" s="27"/>
      <c r="K41" s="27"/>
      <c r="L41" s="27"/>
      <c r="M41" s="27"/>
      <c r="N41" s="27"/>
    </row>
    <row r="42" spans="1:14">
      <c r="A42" s="27" t="s">
        <v>11</v>
      </c>
      <c r="B42" s="27" t="s">
        <v>210</v>
      </c>
      <c r="C42" s="27"/>
      <c r="D42" s="27"/>
      <c r="E42" s="27"/>
      <c r="F42" s="27"/>
      <c r="G42" s="27"/>
      <c r="H42" s="27"/>
      <c r="I42" s="27"/>
      <c r="J42" s="27"/>
      <c r="K42" s="27"/>
      <c r="L42" s="27"/>
      <c r="M42" s="27"/>
      <c r="N42" s="27"/>
    </row>
    <row r="43" spans="1:14">
      <c r="A43" s="27" t="s">
        <v>13</v>
      </c>
      <c r="B43" s="27" t="s">
        <v>14</v>
      </c>
      <c r="C43" s="27"/>
      <c r="D43" s="27"/>
      <c r="E43" s="27"/>
      <c r="F43" s="27"/>
      <c r="G43" s="27"/>
      <c r="H43" s="27"/>
      <c r="I43" s="27"/>
      <c r="J43" s="27"/>
      <c r="K43" s="27"/>
      <c r="L43" s="27"/>
      <c r="M43" s="27"/>
      <c r="N43" s="27"/>
    </row>
    <row r="44" spans="1:14">
      <c r="A44" s="27" t="s">
        <v>15</v>
      </c>
      <c r="B44" s="37">
        <v>1</v>
      </c>
      <c r="C44" s="27"/>
      <c r="D44" s="27"/>
      <c r="E44" s="27"/>
      <c r="F44" s="27"/>
      <c r="G44" s="27"/>
      <c r="H44" s="27"/>
      <c r="I44" s="27"/>
      <c r="J44" s="27"/>
      <c r="K44" s="27"/>
      <c r="L44" s="27"/>
      <c r="M44" s="27"/>
      <c r="N44" s="27"/>
    </row>
    <row r="45" spans="1:14">
      <c r="A45" s="27" t="s">
        <v>16</v>
      </c>
      <c r="B45" s="27" t="s">
        <v>17</v>
      </c>
      <c r="C45" s="27"/>
      <c r="D45" s="27"/>
      <c r="E45" s="27"/>
      <c r="F45" s="27"/>
      <c r="G45" s="27"/>
      <c r="H45" s="27"/>
      <c r="I45" s="27"/>
      <c r="J45" s="27"/>
      <c r="K45" s="27"/>
      <c r="L45" s="27"/>
      <c r="M45" s="27"/>
      <c r="N45" s="27"/>
    </row>
    <row r="46" spans="1:14">
      <c r="A46" s="27" t="s">
        <v>18</v>
      </c>
      <c r="B46" s="27" t="s">
        <v>37</v>
      </c>
      <c r="C46" s="27"/>
      <c r="D46" s="27"/>
      <c r="E46" s="27"/>
      <c r="F46" s="27"/>
      <c r="G46" s="27"/>
      <c r="H46" s="27"/>
      <c r="I46" s="27"/>
      <c r="J46" s="27"/>
      <c r="K46" s="27"/>
      <c r="L46" s="27"/>
      <c r="M46" s="27"/>
      <c r="N46" s="27"/>
    </row>
    <row r="47" spans="1:14" ht="15.6">
      <c r="A47" s="26" t="s">
        <v>19</v>
      </c>
    </row>
    <row r="48" spans="1:14" ht="15.6">
      <c r="A48" s="26" t="s">
        <v>20</v>
      </c>
      <c r="B48" s="26" t="s">
        <v>21</v>
      </c>
      <c r="C48" s="26" t="s">
        <v>18</v>
      </c>
      <c r="D48" s="26" t="s">
        <v>22</v>
      </c>
      <c r="E48" s="26" t="s">
        <v>7</v>
      </c>
      <c r="F48" s="26" t="s">
        <v>13</v>
      </c>
      <c r="G48" s="26" t="s">
        <v>16</v>
      </c>
      <c r="H48" s="26" t="s">
        <v>23</v>
      </c>
      <c r="I48" s="26" t="s">
        <v>24</v>
      </c>
      <c r="J48" s="26" t="s">
        <v>25</v>
      </c>
      <c r="K48" s="26" t="s">
        <v>26</v>
      </c>
      <c r="L48" s="26" t="s">
        <v>27</v>
      </c>
      <c r="M48" s="26" t="s">
        <v>28</v>
      </c>
      <c r="N48" s="26" t="s">
        <v>187</v>
      </c>
    </row>
    <row r="49" spans="1:14">
      <c r="A49" s="27" t="s">
        <v>36</v>
      </c>
      <c r="B49" s="216">
        <f>B44</f>
        <v>1</v>
      </c>
      <c r="C49" s="27" t="str">
        <f>B46</f>
        <v>kilogram</v>
      </c>
      <c r="D49" s="27" t="s">
        <v>2</v>
      </c>
      <c r="E49" s="27" t="s">
        <v>29</v>
      </c>
      <c r="F49" s="27" t="str">
        <f>B43</f>
        <v>EUR</v>
      </c>
      <c r="G49" s="27" t="s">
        <v>30</v>
      </c>
      <c r="H49" s="27">
        <v>0</v>
      </c>
      <c r="I49" s="27">
        <f>B49</f>
        <v>1</v>
      </c>
      <c r="J49" s="27" t="s">
        <v>31</v>
      </c>
      <c r="K49" s="27" t="s">
        <v>31</v>
      </c>
      <c r="L49" s="27" t="s">
        <v>31</v>
      </c>
      <c r="M49" s="27" t="s">
        <v>31</v>
      </c>
      <c r="N49" s="27"/>
    </row>
    <row r="50" spans="1:14" s="27" customFormat="1" ht="12.95">
      <c r="A50" s="27" t="s">
        <v>197</v>
      </c>
      <c r="B50" s="27">
        <f>1*1.0042</f>
        <v>1.0042</v>
      </c>
      <c r="C50" s="27" t="s">
        <v>37</v>
      </c>
      <c r="D50" s="27" t="s">
        <v>2</v>
      </c>
      <c r="E50" s="27" t="s">
        <v>29</v>
      </c>
      <c r="F50" s="27" t="s">
        <v>14</v>
      </c>
      <c r="G50" s="27" t="s">
        <v>33</v>
      </c>
      <c r="H50" s="27">
        <v>0</v>
      </c>
      <c r="I50" s="27">
        <f>B50</f>
        <v>1.0042</v>
      </c>
      <c r="J50" s="27" t="s">
        <v>31</v>
      </c>
      <c r="K50" s="27" t="s">
        <v>31</v>
      </c>
      <c r="L50" s="27" t="s">
        <v>31</v>
      </c>
      <c r="M50" s="27" t="s">
        <v>31</v>
      </c>
    </row>
    <row r="51" spans="1:14" s="27" customFormat="1" ht="12.95">
      <c r="A51" s="27" t="s">
        <v>211</v>
      </c>
      <c r="B51" s="27">
        <v>1</v>
      </c>
      <c r="C51" s="27" t="s">
        <v>18</v>
      </c>
      <c r="D51" s="27" t="s">
        <v>2</v>
      </c>
      <c r="E51" s="27" t="s">
        <v>29</v>
      </c>
      <c r="F51" s="27" t="s">
        <v>14</v>
      </c>
      <c r="G51" s="27" t="s">
        <v>33</v>
      </c>
      <c r="H51" s="27">
        <v>0</v>
      </c>
      <c r="I51" s="27">
        <f>B51</f>
        <v>1</v>
      </c>
      <c r="J51" s="27" t="s">
        <v>31</v>
      </c>
      <c r="K51" s="27" t="s">
        <v>31</v>
      </c>
      <c r="L51" s="27" t="s">
        <v>31</v>
      </c>
      <c r="M51" s="27" t="s">
        <v>31</v>
      </c>
    </row>
  </sheetData>
  <pageMargins left="0.7" right="0.7" top="0.75" bottom="0.75" header="0.3" footer="0.3"/>
  <pageSetup paperSize="9" orientation="portrai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4C544-4851-4ADD-B199-66AC1DAF523D}">
  <sheetPr>
    <tabColor theme="8" tint="0.79998168889431442"/>
  </sheetPr>
  <dimension ref="A1:U363"/>
  <sheetViews>
    <sheetView topLeftCell="A57" zoomScale="85" zoomScaleNormal="85" workbookViewId="0">
      <selection activeCell="H20" sqref="H20:H21"/>
    </sheetView>
  </sheetViews>
  <sheetFormatPr defaultRowHeight="14.4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6">
      <c r="A2" s="67" t="s">
        <v>5</v>
      </c>
      <c r="B2" s="68" t="s">
        <v>1755</v>
      </c>
      <c r="C2" s="69"/>
      <c r="D2" s="70"/>
      <c r="E2" s="70"/>
      <c r="F2" s="70"/>
      <c r="G2" s="70"/>
      <c r="H2" s="70"/>
      <c r="I2" s="70"/>
      <c r="J2" s="70"/>
      <c r="K2" s="70"/>
      <c r="L2" s="70"/>
      <c r="M2" s="70"/>
    </row>
    <row r="3" spans="1:18">
      <c r="A3" s="71" t="s">
        <v>7</v>
      </c>
      <c r="B3" t="s">
        <v>1654</v>
      </c>
      <c r="C3" s="72"/>
    </row>
    <row r="4" spans="1:18">
      <c r="A4" s="71" t="s">
        <v>9</v>
      </c>
      <c r="B4" t="s">
        <v>1786</v>
      </c>
      <c r="C4" s="72"/>
    </row>
    <row r="5" spans="1:18" ht="16.5" customHeight="1">
      <c r="A5" s="71" t="s">
        <v>11</v>
      </c>
      <c r="B5" s="73" t="s">
        <v>796</v>
      </c>
    </row>
    <row r="6" spans="1:18">
      <c r="A6" s="71" t="s">
        <v>13</v>
      </c>
      <c r="B6" t="s">
        <v>14</v>
      </c>
    </row>
    <row r="7" spans="1:18">
      <c r="A7" s="71" t="s">
        <v>15</v>
      </c>
      <c r="B7">
        <f>B12</f>
        <v>1</v>
      </c>
      <c r="O7" t="s">
        <v>1249</v>
      </c>
    </row>
    <row r="8" spans="1:18">
      <c r="A8" s="71" t="s">
        <v>16</v>
      </c>
      <c r="B8" t="s">
        <v>17</v>
      </c>
    </row>
    <row r="9" spans="1:18">
      <c r="A9" s="71" t="s">
        <v>18</v>
      </c>
      <c r="B9" t="s">
        <v>37</v>
      </c>
    </row>
    <row r="10" spans="1:18" ht="15.6">
      <c r="A10" s="75" t="s">
        <v>19</v>
      </c>
    </row>
    <row r="11" spans="1:18" ht="15.6">
      <c r="A11" s="7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8" ht="15.6">
      <c r="A12" s="76" t="s">
        <v>1755</v>
      </c>
      <c r="B12">
        <v>1</v>
      </c>
      <c r="C12" t="s">
        <v>37</v>
      </c>
      <c r="D12" s="109" t="s">
        <v>1754</v>
      </c>
      <c r="E12" t="s">
        <v>29</v>
      </c>
      <c r="F12" s="74" t="s">
        <v>14</v>
      </c>
      <c r="G12" t="s">
        <v>30</v>
      </c>
      <c r="H12">
        <v>1</v>
      </c>
      <c r="I12">
        <v>2.8722813232690055E-2</v>
      </c>
      <c r="J12" t="s">
        <v>31</v>
      </c>
      <c r="K12" t="s">
        <v>31</v>
      </c>
      <c r="L12" t="s">
        <v>31</v>
      </c>
      <c r="M12" t="s">
        <v>31</v>
      </c>
    </row>
    <row r="13" spans="1:18" ht="15.6">
      <c r="A13" t="s">
        <v>1787</v>
      </c>
      <c r="B13">
        <v>1</v>
      </c>
      <c r="C13" t="s">
        <v>18</v>
      </c>
      <c r="D13" s="109" t="s">
        <v>1754</v>
      </c>
      <c r="E13" t="s">
        <v>29</v>
      </c>
      <c r="F13" s="74" t="s">
        <v>14</v>
      </c>
      <c r="G13" t="s">
        <v>33</v>
      </c>
      <c r="H13">
        <v>1</v>
      </c>
      <c r="I13">
        <v>1</v>
      </c>
      <c r="J13" t="s">
        <v>31</v>
      </c>
      <c r="K13" t="s">
        <v>31</v>
      </c>
      <c r="L13" t="s">
        <v>31</v>
      </c>
      <c r="M13" t="s">
        <v>31</v>
      </c>
    </row>
    <row r="14" spans="1:18" ht="15.6">
      <c r="A14" t="s">
        <v>1788</v>
      </c>
      <c r="B14">
        <v>1</v>
      </c>
      <c r="C14" t="s">
        <v>18</v>
      </c>
      <c r="D14" s="109" t="s">
        <v>1754</v>
      </c>
      <c r="E14" t="s">
        <v>29</v>
      </c>
      <c r="F14" s="74" t="s">
        <v>14</v>
      </c>
      <c r="G14" t="s">
        <v>33</v>
      </c>
      <c r="H14">
        <v>1</v>
      </c>
      <c r="I14">
        <v>1</v>
      </c>
      <c r="J14" t="s">
        <v>31</v>
      </c>
      <c r="K14" t="s">
        <v>31</v>
      </c>
      <c r="L14" t="s">
        <v>31</v>
      </c>
      <c r="M14" t="s">
        <v>31</v>
      </c>
    </row>
    <row r="15" spans="1:18" ht="15.6">
      <c r="A15" s="88" t="s">
        <v>179</v>
      </c>
      <c r="B15" s="87">
        <f>R15</f>
        <v>2.3000000000000001E-4</v>
      </c>
      <c r="C15" t="s">
        <v>37</v>
      </c>
      <c r="D15" s="17" t="s">
        <v>221</v>
      </c>
      <c r="E15" t="s">
        <v>29</v>
      </c>
      <c r="F15" s="74" t="s">
        <v>35</v>
      </c>
      <c r="G15" t="s">
        <v>33</v>
      </c>
      <c r="H15">
        <v>2</v>
      </c>
      <c r="I15">
        <f>LN(B15)</f>
        <v>-8.3774312490410789</v>
      </c>
      <c r="J15">
        <v>2.8722813232690055E-2</v>
      </c>
      <c r="K15" t="s">
        <v>31</v>
      </c>
      <c r="L15" t="s">
        <v>31</v>
      </c>
      <c r="M15" t="s">
        <v>31</v>
      </c>
      <c r="O15" s="78" t="s">
        <v>580</v>
      </c>
      <c r="P15" s="172">
        <v>0.23</v>
      </c>
      <c r="Q15" t="s">
        <v>241</v>
      </c>
      <c r="R15" s="87">
        <f>P15*0.001</f>
        <v>2.3000000000000001E-4</v>
      </c>
    </row>
    <row r="16" spans="1:18" ht="15.6">
      <c r="A16" s="67" t="s">
        <v>5</v>
      </c>
      <c r="B16" s="68" t="s">
        <v>1788</v>
      </c>
      <c r="C16" s="69"/>
      <c r="D16" s="70"/>
      <c r="E16" s="70"/>
      <c r="F16" s="70"/>
      <c r="G16" s="70"/>
      <c r="H16" s="70"/>
      <c r="I16" s="70"/>
      <c r="J16" s="70"/>
      <c r="K16" s="70"/>
      <c r="L16" s="70"/>
      <c r="M16" s="70"/>
    </row>
    <row r="17" spans="1:18">
      <c r="A17" s="71" t="s">
        <v>7</v>
      </c>
      <c r="B17" t="s">
        <v>1654</v>
      </c>
      <c r="C17" s="72"/>
    </row>
    <row r="18" spans="1:18">
      <c r="A18" s="71" t="s">
        <v>9</v>
      </c>
      <c r="B18" t="s">
        <v>1789</v>
      </c>
      <c r="C18" s="72"/>
    </row>
    <row r="19" spans="1:18" ht="16.5" customHeight="1">
      <c r="A19" s="71" t="s">
        <v>11</v>
      </c>
      <c r="B19" s="73" t="s">
        <v>796</v>
      </c>
    </row>
    <row r="20" spans="1:18">
      <c r="A20" s="71" t="s">
        <v>13</v>
      </c>
      <c r="B20" t="s">
        <v>14</v>
      </c>
    </row>
    <row r="21" spans="1:18">
      <c r="A21" s="71" t="s">
        <v>15</v>
      </c>
      <c r="B21">
        <v>1</v>
      </c>
    </row>
    <row r="22" spans="1:18">
      <c r="A22" s="71" t="s">
        <v>16</v>
      </c>
      <c r="B22" t="s">
        <v>17</v>
      </c>
    </row>
    <row r="23" spans="1:18">
      <c r="A23" s="71" t="s">
        <v>18</v>
      </c>
      <c r="B23" t="s">
        <v>18</v>
      </c>
    </row>
    <row r="24" spans="1:18" ht="15.6">
      <c r="A24" s="75" t="s">
        <v>19</v>
      </c>
    </row>
    <row r="25" spans="1:18" ht="15.6">
      <c r="A25" s="75" t="s">
        <v>20</v>
      </c>
      <c r="B25" s="16" t="s">
        <v>21</v>
      </c>
      <c r="C25" s="16" t="s">
        <v>18</v>
      </c>
      <c r="D25" s="16" t="s">
        <v>22</v>
      </c>
      <c r="E25" s="16" t="s">
        <v>7</v>
      </c>
      <c r="F25" s="16" t="s">
        <v>13</v>
      </c>
      <c r="G25" s="16" t="s">
        <v>16</v>
      </c>
      <c r="H25" s="16" t="s">
        <v>23</v>
      </c>
      <c r="I25" s="16" t="s">
        <v>24</v>
      </c>
      <c r="J25" s="16" t="s">
        <v>25</v>
      </c>
      <c r="K25" s="16" t="s">
        <v>26</v>
      </c>
      <c r="L25" s="16" t="s">
        <v>27</v>
      </c>
      <c r="M25" s="16" t="s">
        <v>28</v>
      </c>
      <c r="N25" s="16" t="s">
        <v>11</v>
      </c>
    </row>
    <row r="26" spans="1:18" ht="15.6">
      <c r="A26" t="s">
        <v>1788</v>
      </c>
      <c r="B26">
        <v>1</v>
      </c>
      <c r="C26" t="s">
        <v>18</v>
      </c>
      <c r="D26" s="109" t="s">
        <v>1754</v>
      </c>
      <c r="E26" t="s">
        <v>29</v>
      </c>
      <c r="F26" s="74" t="s">
        <v>14</v>
      </c>
      <c r="G26" t="s">
        <v>30</v>
      </c>
      <c r="H26">
        <v>1</v>
      </c>
      <c r="I26">
        <v>1</v>
      </c>
      <c r="J26" t="s">
        <v>31</v>
      </c>
      <c r="K26" t="s">
        <v>31</v>
      </c>
      <c r="L26" t="s">
        <v>31</v>
      </c>
      <c r="M26" t="s">
        <v>31</v>
      </c>
    </row>
    <row r="27" spans="1:18" ht="15.6">
      <c r="A27" s="88" t="s">
        <v>614</v>
      </c>
      <c r="B27">
        <f>P27</f>
        <v>0.45</v>
      </c>
      <c r="C27" t="s">
        <v>37</v>
      </c>
      <c r="D27" s="17" t="s">
        <v>221</v>
      </c>
      <c r="E27" t="s">
        <v>29</v>
      </c>
      <c r="F27" t="s">
        <v>59</v>
      </c>
      <c r="G27" t="s">
        <v>33</v>
      </c>
      <c r="H27">
        <v>1</v>
      </c>
      <c r="I27">
        <f>B27</f>
        <v>0.45</v>
      </c>
      <c r="J27" t="s">
        <v>31</v>
      </c>
      <c r="K27" t="s">
        <v>31</v>
      </c>
      <c r="L27" t="s">
        <v>31</v>
      </c>
      <c r="M27" t="s">
        <v>31</v>
      </c>
      <c r="O27" t="s">
        <v>241</v>
      </c>
      <c r="P27">
        <v>0.45</v>
      </c>
    </row>
    <row r="28" spans="1:18">
      <c r="A28" s="88" t="s">
        <v>913</v>
      </c>
      <c r="B28">
        <f>R28</f>
        <v>0.29899999999999999</v>
      </c>
      <c r="C28" t="s">
        <v>37</v>
      </c>
      <c r="D28" t="s">
        <v>221</v>
      </c>
      <c r="E28" t="s">
        <v>29</v>
      </c>
      <c r="F28" t="s">
        <v>59</v>
      </c>
      <c r="G28" t="s">
        <v>33</v>
      </c>
      <c r="H28">
        <v>2</v>
      </c>
      <c r="I28">
        <f>LN(B28)</f>
        <v>-1.2073117055914506</v>
      </c>
      <c r="J28">
        <v>3.7749172176353707E-2</v>
      </c>
      <c r="K28" t="s">
        <v>31</v>
      </c>
      <c r="L28" t="s">
        <v>31</v>
      </c>
      <c r="M28" t="s">
        <v>31</v>
      </c>
      <c r="O28" s="101" t="s">
        <v>580</v>
      </c>
      <c r="P28" s="138">
        <v>299</v>
      </c>
      <c r="Q28" t="s">
        <v>241</v>
      </c>
      <c r="R28">
        <f>P28*0.001</f>
        <v>0.29899999999999999</v>
      </c>
    </row>
    <row r="29" spans="1:18">
      <c r="A29" s="88" t="s">
        <v>914</v>
      </c>
      <c r="B29">
        <f>R29</f>
        <v>1.7899999999999999E-2</v>
      </c>
      <c r="C29" t="s">
        <v>37</v>
      </c>
      <c r="D29" t="s">
        <v>221</v>
      </c>
      <c r="E29" t="s">
        <v>29</v>
      </c>
      <c r="F29" t="s">
        <v>59</v>
      </c>
      <c r="G29" t="s">
        <v>33</v>
      </c>
      <c r="H29">
        <v>2</v>
      </c>
      <c r="I29">
        <f>LN(B29)</f>
        <v>-4.0229545661354278</v>
      </c>
      <c r="J29">
        <v>3.7749172176353707E-2</v>
      </c>
      <c r="K29" t="s">
        <v>31</v>
      </c>
      <c r="L29" t="s">
        <v>31</v>
      </c>
      <c r="M29" t="s">
        <v>31</v>
      </c>
      <c r="O29" s="101" t="s">
        <v>580</v>
      </c>
      <c r="P29" s="138">
        <v>17.899999999999999</v>
      </c>
      <c r="Q29" t="s">
        <v>241</v>
      </c>
      <c r="R29">
        <f t="shared" ref="R29:R30" si="0">P29*0.001</f>
        <v>1.7899999999999999E-2</v>
      </c>
    </row>
    <row r="30" spans="1:18">
      <c r="A30" s="88" t="s">
        <v>915</v>
      </c>
      <c r="B30">
        <f>R30</f>
        <v>0.13500000000000001</v>
      </c>
      <c r="C30" t="s">
        <v>37</v>
      </c>
      <c r="D30" t="s">
        <v>221</v>
      </c>
      <c r="E30" t="s">
        <v>29</v>
      </c>
      <c r="F30" t="s">
        <v>59</v>
      </c>
      <c r="G30" t="s">
        <v>33</v>
      </c>
      <c r="H30">
        <v>2</v>
      </c>
      <c r="I30">
        <f>LN(B30)</f>
        <v>-2.0024805005437076</v>
      </c>
      <c r="J30">
        <v>3.7749172176353707E-2</v>
      </c>
      <c r="K30" t="s">
        <v>31</v>
      </c>
      <c r="L30" t="s">
        <v>31</v>
      </c>
      <c r="M30" t="s">
        <v>31</v>
      </c>
      <c r="O30" s="101" t="s">
        <v>580</v>
      </c>
      <c r="P30" s="138">
        <v>135</v>
      </c>
      <c r="Q30" t="s">
        <v>241</v>
      </c>
      <c r="R30">
        <f t="shared" si="0"/>
        <v>0.13500000000000001</v>
      </c>
    </row>
    <row r="31" spans="1:18" ht="15.6">
      <c r="A31" s="67" t="s">
        <v>5</v>
      </c>
      <c r="B31" s="68" t="s">
        <v>1787</v>
      </c>
      <c r="C31" s="69"/>
      <c r="D31" s="70"/>
      <c r="E31" s="70"/>
      <c r="F31" s="70"/>
      <c r="G31" s="70"/>
      <c r="H31" s="70"/>
      <c r="I31" s="70"/>
      <c r="J31" s="70"/>
      <c r="K31" s="70"/>
      <c r="L31" s="70"/>
      <c r="M31" s="70"/>
    </row>
    <row r="32" spans="1:18">
      <c r="A32" s="71" t="s">
        <v>7</v>
      </c>
      <c r="B32" t="s">
        <v>1654</v>
      </c>
      <c r="C32" s="72"/>
    </row>
    <row r="33" spans="1:18">
      <c r="A33" s="71" t="s">
        <v>9</v>
      </c>
      <c r="B33" t="s">
        <v>1790</v>
      </c>
      <c r="C33" s="72"/>
    </row>
    <row r="34" spans="1:18" ht="18" customHeight="1">
      <c r="A34" s="71" t="s">
        <v>11</v>
      </c>
      <c r="B34" s="73" t="s">
        <v>796</v>
      </c>
    </row>
    <row r="35" spans="1:18">
      <c r="A35" s="71" t="s">
        <v>13</v>
      </c>
      <c r="B35" t="s">
        <v>14</v>
      </c>
    </row>
    <row r="36" spans="1:18">
      <c r="A36" s="71" t="s">
        <v>15</v>
      </c>
      <c r="B36">
        <v>1</v>
      </c>
    </row>
    <row r="37" spans="1:18">
      <c r="A37" s="71" t="s">
        <v>16</v>
      </c>
      <c r="B37" t="s">
        <v>17</v>
      </c>
    </row>
    <row r="38" spans="1:18">
      <c r="A38" s="71" t="s">
        <v>18</v>
      </c>
      <c r="B38" t="s">
        <v>18</v>
      </c>
    </row>
    <row r="39" spans="1:18" ht="15.6">
      <c r="A39" s="75" t="s">
        <v>19</v>
      </c>
    </row>
    <row r="40" spans="1:18" ht="15.6">
      <c r="A40" s="75" t="s">
        <v>20</v>
      </c>
      <c r="B40" s="16" t="s">
        <v>21</v>
      </c>
      <c r="C40" s="16" t="s">
        <v>18</v>
      </c>
      <c r="D40" s="16" t="s">
        <v>22</v>
      </c>
      <c r="E40" s="16" t="s">
        <v>7</v>
      </c>
      <c r="F40" s="16" t="s">
        <v>13</v>
      </c>
      <c r="G40" s="16" t="s">
        <v>16</v>
      </c>
      <c r="H40" s="16" t="s">
        <v>23</v>
      </c>
      <c r="I40" s="16" t="s">
        <v>24</v>
      </c>
      <c r="J40" s="16" t="s">
        <v>25</v>
      </c>
      <c r="K40" s="16" t="s">
        <v>26</v>
      </c>
      <c r="L40" s="16" t="s">
        <v>27</v>
      </c>
      <c r="M40" s="16" t="s">
        <v>28</v>
      </c>
      <c r="N40" s="16" t="s">
        <v>11</v>
      </c>
    </row>
    <row r="41" spans="1:18" ht="15.6">
      <c r="A41" t="s">
        <v>1787</v>
      </c>
      <c r="B41">
        <v>1</v>
      </c>
      <c r="C41" t="s">
        <v>18</v>
      </c>
      <c r="D41" s="109" t="s">
        <v>1754</v>
      </c>
      <c r="E41" t="s">
        <v>29</v>
      </c>
      <c r="F41" s="74" t="s">
        <v>14</v>
      </c>
      <c r="G41" t="s">
        <v>30</v>
      </c>
      <c r="H41">
        <v>1</v>
      </c>
      <c r="I41">
        <v>1</v>
      </c>
      <c r="J41" t="s">
        <v>31</v>
      </c>
      <c r="K41" t="s">
        <v>31</v>
      </c>
      <c r="L41" t="s">
        <v>31</v>
      </c>
      <c r="M41" t="s">
        <v>31</v>
      </c>
    </row>
    <row r="42" spans="1:18" ht="15.6">
      <c r="A42" s="88" t="s">
        <v>1791</v>
      </c>
      <c r="B42">
        <f>B55</f>
        <v>0.161</v>
      </c>
      <c r="C42" t="s">
        <v>37</v>
      </c>
      <c r="D42" s="109" t="s">
        <v>1754</v>
      </c>
      <c r="E42" t="s">
        <v>29</v>
      </c>
      <c r="F42" s="74" t="s">
        <v>14</v>
      </c>
      <c r="G42" t="s">
        <v>33</v>
      </c>
      <c r="H42">
        <v>1</v>
      </c>
      <c r="I42">
        <f>B42</f>
        <v>0.161</v>
      </c>
      <c r="J42" t="s">
        <v>31</v>
      </c>
      <c r="K42" t="s">
        <v>31</v>
      </c>
      <c r="L42" t="s">
        <v>31</v>
      </c>
      <c r="M42" t="s">
        <v>31</v>
      </c>
      <c r="O42" s="59"/>
      <c r="P42" s="120"/>
    </row>
    <row r="43" spans="1:18" ht="15.6">
      <c r="A43" s="88" t="s">
        <v>1792</v>
      </c>
      <c r="B43">
        <v>1</v>
      </c>
      <c r="C43" t="s">
        <v>18</v>
      </c>
      <c r="D43" s="109" t="s">
        <v>1754</v>
      </c>
      <c r="E43" t="s">
        <v>29</v>
      </c>
      <c r="F43" s="74" t="s">
        <v>14</v>
      </c>
      <c r="G43" t="s">
        <v>33</v>
      </c>
      <c r="H43">
        <v>1</v>
      </c>
      <c r="I43">
        <v>1</v>
      </c>
      <c r="J43" t="s">
        <v>31</v>
      </c>
      <c r="K43" t="s">
        <v>31</v>
      </c>
      <c r="L43" t="s">
        <v>31</v>
      </c>
      <c r="M43" t="s">
        <v>31</v>
      </c>
    </row>
    <row r="44" spans="1:18" ht="15.6">
      <c r="A44" s="76" t="s">
        <v>38</v>
      </c>
      <c r="B44" s="23">
        <f>R44</f>
        <v>0.03</v>
      </c>
      <c r="C44" t="s">
        <v>39</v>
      </c>
      <c r="D44" s="17" t="s">
        <v>221</v>
      </c>
      <c r="E44" t="s">
        <v>29</v>
      </c>
      <c r="F44" s="74" t="s">
        <v>35</v>
      </c>
      <c r="G44" t="s">
        <v>33</v>
      </c>
      <c r="H44">
        <v>2</v>
      </c>
      <c r="I44">
        <f t="shared" ref="I44" si="1">LN(B44)</f>
        <v>-3.5065578973199818</v>
      </c>
      <c r="J44">
        <v>7.2284161474004766E-2</v>
      </c>
      <c r="K44" t="s">
        <v>31</v>
      </c>
      <c r="L44" t="s">
        <v>31</v>
      </c>
      <c r="M44" t="s">
        <v>31</v>
      </c>
      <c r="O44" s="78" t="s">
        <v>248</v>
      </c>
      <c r="P44" s="114">
        <v>0.03</v>
      </c>
      <c r="Q44" t="s">
        <v>248</v>
      </c>
      <c r="R44" s="23">
        <f>P44</f>
        <v>0.03</v>
      </c>
    </row>
    <row r="45" spans="1:18" ht="15.6">
      <c r="A45" s="67" t="s">
        <v>5</v>
      </c>
      <c r="B45" s="68" t="s">
        <v>1791</v>
      </c>
      <c r="C45" s="69"/>
      <c r="D45" s="70"/>
      <c r="E45" s="70"/>
      <c r="F45" s="70"/>
      <c r="G45" s="70"/>
      <c r="H45" s="70"/>
      <c r="I45" s="70"/>
      <c r="J45" s="70"/>
      <c r="K45" s="70"/>
      <c r="L45" s="70"/>
      <c r="M45" s="70"/>
    </row>
    <row r="46" spans="1:18">
      <c r="A46" s="71" t="s">
        <v>7</v>
      </c>
      <c r="B46" t="s">
        <v>1654</v>
      </c>
      <c r="C46" s="72"/>
    </row>
    <row r="47" spans="1:18">
      <c r="A47" s="71" t="s">
        <v>9</v>
      </c>
      <c r="B47" t="s">
        <v>1793</v>
      </c>
      <c r="C47" s="72"/>
    </row>
    <row r="48" spans="1:18" ht="11.25" customHeight="1">
      <c r="A48" s="71" t="s">
        <v>11</v>
      </c>
      <c r="B48" s="73" t="s">
        <v>796</v>
      </c>
    </row>
    <row r="49" spans="1:18">
      <c r="A49" s="71" t="s">
        <v>13</v>
      </c>
      <c r="B49" t="s">
        <v>14</v>
      </c>
    </row>
    <row r="50" spans="1:18">
      <c r="A50" s="71" t="s">
        <v>15</v>
      </c>
      <c r="B50">
        <f>B55</f>
        <v>0.161</v>
      </c>
    </row>
    <row r="51" spans="1:18">
      <c r="A51" s="71" t="s">
        <v>16</v>
      </c>
      <c r="B51" t="s">
        <v>17</v>
      </c>
    </row>
    <row r="52" spans="1:18">
      <c r="A52" s="71" t="s">
        <v>18</v>
      </c>
      <c r="B52" t="s">
        <v>37</v>
      </c>
    </row>
    <row r="53" spans="1:18" ht="15.6">
      <c r="A53" s="75" t="s">
        <v>19</v>
      </c>
    </row>
    <row r="54" spans="1:18" ht="15.6">
      <c r="A54" s="75" t="s">
        <v>20</v>
      </c>
      <c r="B54" s="16" t="s">
        <v>21</v>
      </c>
      <c r="C54" s="16" t="s">
        <v>18</v>
      </c>
      <c r="D54" s="16" t="s">
        <v>22</v>
      </c>
      <c r="E54" s="16" t="s">
        <v>7</v>
      </c>
      <c r="F54" s="16" t="s">
        <v>13</v>
      </c>
      <c r="G54" s="16" t="s">
        <v>16</v>
      </c>
      <c r="H54" s="16" t="s">
        <v>23</v>
      </c>
      <c r="I54" s="16" t="s">
        <v>24</v>
      </c>
      <c r="J54" s="16" t="s">
        <v>25</v>
      </c>
      <c r="K54" s="16" t="s">
        <v>26</v>
      </c>
      <c r="L54" s="16" t="s">
        <v>27</v>
      </c>
      <c r="M54" s="16" t="s">
        <v>28</v>
      </c>
      <c r="N54" s="16" t="s">
        <v>11</v>
      </c>
    </row>
    <row r="55" spans="1:18" ht="15.6">
      <c r="A55" s="88" t="s">
        <v>1791</v>
      </c>
      <c r="B55">
        <f>P55</f>
        <v>0.161</v>
      </c>
      <c r="C55" t="s">
        <v>37</v>
      </c>
      <c r="D55" s="109" t="s">
        <v>1754</v>
      </c>
      <c r="E55" t="s">
        <v>29</v>
      </c>
      <c r="F55" s="74" t="s">
        <v>14</v>
      </c>
      <c r="G55" t="s">
        <v>30</v>
      </c>
      <c r="H55">
        <v>1</v>
      </c>
      <c r="I55">
        <f>B55</f>
        <v>0.161</v>
      </c>
      <c r="J55" t="s">
        <v>31</v>
      </c>
      <c r="K55" t="s">
        <v>31</v>
      </c>
      <c r="L55" t="s">
        <v>31</v>
      </c>
      <c r="M55" t="s">
        <v>31</v>
      </c>
      <c r="O55" s="152" t="s">
        <v>241</v>
      </c>
      <c r="P55" s="114">
        <v>0.161</v>
      </c>
      <c r="Q55" t="s">
        <v>241</v>
      </c>
      <c r="R55">
        <f>P55</f>
        <v>0.161</v>
      </c>
    </row>
    <row r="56" spans="1:18" ht="15.6">
      <c r="A56" s="88" t="s">
        <v>179</v>
      </c>
      <c r="B56" s="87">
        <f>R56</f>
        <v>0.161</v>
      </c>
      <c r="C56" t="s">
        <v>37</v>
      </c>
      <c r="D56" s="17" t="s">
        <v>221</v>
      </c>
      <c r="E56" t="s">
        <v>29</v>
      </c>
      <c r="F56" s="74" t="s">
        <v>35</v>
      </c>
      <c r="G56" t="s">
        <v>33</v>
      </c>
      <c r="H56">
        <v>2</v>
      </c>
      <c r="I56">
        <f>LN(B56)</f>
        <v>-1.8263509139976741</v>
      </c>
      <c r="J56">
        <v>2.8722813232690055E-2</v>
      </c>
      <c r="K56" t="s">
        <v>31</v>
      </c>
      <c r="L56" t="s">
        <v>31</v>
      </c>
      <c r="M56" t="s">
        <v>31</v>
      </c>
      <c r="O56" s="153" t="s">
        <v>241</v>
      </c>
      <c r="P56" s="114">
        <v>0.161</v>
      </c>
      <c r="Q56" t="s">
        <v>241</v>
      </c>
      <c r="R56" s="87">
        <f>P56</f>
        <v>0.161</v>
      </c>
    </row>
    <row r="57" spans="1:18" ht="15.6">
      <c r="A57" s="76" t="s">
        <v>38</v>
      </c>
      <c r="B57" s="122">
        <f>R57</f>
        <v>4.8000000000000001E-2</v>
      </c>
      <c r="C57" t="s">
        <v>39</v>
      </c>
      <c r="D57" s="17" t="s">
        <v>221</v>
      </c>
      <c r="E57" t="s">
        <v>29</v>
      </c>
      <c r="F57" s="74" t="s">
        <v>35</v>
      </c>
      <c r="G57" t="s">
        <v>33</v>
      </c>
      <c r="H57">
        <v>2</v>
      </c>
      <c r="I57">
        <f t="shared" ref="I57" si="2">LN(B57)</f>
        <v>-3.0365542680742461</v>
      </c>
      <c r="J57">
        <v>7.2284161474004766E-2</v>
      </c>
      <c r="K57" t="s">
        <v>31</v>
      </c>
      <c r="L57" t="s">
        <v>31</v>
      </c>
      <c r="M57" t="s">
        <v>31</v>
      </c>
      <c r="O57" s="78" t="s">
        <v>248</v>
      </c>
      <c r="P57" s="114">
        <v>4.8000000000000001E-2</v>
      </c>
      <c r="Q57" t="s">
        <v>248</v>
      </c>
      <c r="R57" s="122">
        <f>P57</f>
        <v>4.8000000000000001E-2</v>
      </c>
    </row>
    <row r="58" spans="1:18" ht="15.6">
      <c r="A58" s="67" t="s">
        <v>5</v>
      </c>
      <c r="B58" s="106" t="s">
        <v>1792</v>
      </c>
      <c r="C58" s="69"/>
      <c r="D58" s="70"/>
      <c r="E58" s="70"/>
      <c r="F58" s="70"/>
      <c r="G58" s="70"/>
      <c r="H58" s="70"/>
      <c r="I58" s="70"/>
      <c r="J58" s="70"/>
      <c r="K58" s="70"/>
      <c r="L58" s="70"/>
      <c r="M58" s="70"/>
    </row>
    <row r="59" spans="1:18">
      <c r="A59" s="71" t="s">
        <v>7</v>
      </c>
      <c r="B59" t="s">
        <v>1654</v>
      </c>
      <c r="C59" s="72"/>
    </row>
    <row r="60" spans="1:18">
      <c r="A60" s="126" t="s">
        <v>9</v>
      </c>
      <c r="B60" t="s">
        <v>1794</v>
      </c>
      <c r="C60" s="72"/>
    </row>
    <row r="61" spans="1:18" ht="27.75" customHeight="1">
      <c r="A61" s="71" t="s">
        <v>11</v>
      </c>
      <c r="B61" s="73" t="s">
        <v>796</v>
      </c>
    </row>
    <row r="62" spans="1:18">
      <c r="A62" s="71" t="s">
        <v>13</v>
      </c>
      <c r="B62" t="s">
        <v>14</v>
      </c>
    </row>
    <row r="63" spans="1:18">
      <c r="A63" s="71" t="s">
        <v>15</v>
      </c>
      <c r="B63">
        <v>1</v>
      </c>
    </row>
    <row r="64" spans="1:18">
      <c r="A64" s="71" t="s">
        <v>16</v>
      </c>
      <c r="B64" t="s">
        <v>17</v>
      </c>
    </row>
    <row r="65" spans="1:18">
      <c r="A65" s="71" t="s">
        <v>18</v>
      </c>
      <c r="B65" t="s">
        <v>18</v>
      </c>
    </row>
    <row r="66" spans="1:18" ht="15.6">
      <c r="A66" s="75" t="s">
        <v>19</v>
      </c>
    </row>
    <row r="67" spans="1:18" ht="15.6">
      <c r="A67" s="75" t="s">
        <v>20</v>
      </c>
      <c r="B67" s="16" t="s">
        <v>21</v>
      </c>
      <c r="C67" s="16" t="s">
        <v>18</v>
      </c>
      <c r="D67" s="16" t="s">
        <v>22</v>
      </c>
      <c r="E67" s="16" t="s">
        <v>7</v>
      </c>
      <c r="F67" s="16" t="s">
        <v>13</v>
      </c>
      <c r="G67" s="16" t="s">
        <v>16</v>
      </c>
      <c r="H67" s="16" t="s">
        <v>23</v>
      </c>
      <c r="I67" s="16" t="s">
        <v>24</v>
      </c>
      <c r="J67" s="16" t="s">
        <v>25</v>
      </c>
      <c r="K67" s="16" t="s">
        <v>26</v>
      </c>
      <c r="L67" s="16" t="s">
        <v>27</v>
      </c>
      <c r="M67" s="16" t="s">
        <v>28</v>
      </c>
      <c r="N67" s="16" t="s">
        <v>11</v>
      </c>
    </row>
    <row r="68" spans="1:18" ht="15.6">
      <c r="A68" s="88" t="s">
        <v>1792</v>
      </c>
      <c r="B68">
        <v>1</v>
      </c>
      <c r="C68" t="s">
        <v>18</v>
      </c>
      <c r="D68" s="109" t="s">
        <v>1754</v>
      </c>
      <c r="E68" t="s">
        <v>29</v>
      </c>
      <c r="F68" s="74" t="s">
        <v>14</v>
      </c>
      <c r="G68" t="s">
        <v>30</v>
      </c>
      <c r="H68">
        <v>1</v>
      </c>
      <c r="I68">
        <v>1</v>
      </c>
      <c r="J68" t="s">
        <v>31</v>
      </c>
      <c r="K68" t="s">
        <v>31</v>
      </c>
      <c r="L68" t="s">
        <v>31</v>
      </c>
      <c r="M68" t="s">
        <v>31</v>
      </c>
    </row>
    <row r="69" spans="1:18" ht="15.6">
      <c r="A69" s="88" t="s">
        <v>1795</v>
      </c>
      <c r="B69" s="87">
        <f>B77</f>
        <v>0.08</v>
      </c>
      <c r="C69" t="s">
        <v>37</v>
      </c>
      <c r="D69" s="109" t="s">
        <v>1754</v>
      </c>
      <c r="E69" t="s">
        <v>29</v>
      </c>
      <c r="F69" s="74" t="s">
        <v>14</v>
      </c>
      <c r="G69" t="s">
        <v>33</v>
      </c>
      <c r="H69">
        <v>1</v>
      </c>
      <c r="I69" s="87">
        <f>B69</f>
        <v>0.08</v>
      </c>
      <c r="J69" t="s">
        <v>31</v>
      </c>
      <c r="K69" t="s">
        <v>31</v>
      </c>
      <c r="L69" t="s">
        <v>31</v>
      </c>
      <c r="M69" t="s">
        <v>31</v>
      </c>
      <c r="O69" s="78"/>
      <c r="P69" s="90"/>
      <c r="Q69" t="s">
        <v>241</v>
      </c>
      <c r="R69" s="87">
        <v>0.01</v>
      </c>
    </row>
    <row r="70" spans="1:18" ht="15.6">
      <c r="A70" s="88" t="s">
        <v>1796</v>
      </c>
      <c r="B70" s="122">
        <v>1</v>
      </c>
      <c r="C70" t="s">
        <v>18</v>
      </c>
      <c r="D70" s="109" t="s">
        <v>1754</v>
      </c>
      <c r="E70" t="s">
        <v>29</v>
      </c>
      <c r="F70" s="74" t="s">
        <v>14</v>
      </c>
      <c r="G70" t="s">
        <v>33</v>
      </c>
      <c r="H70">
        <v>1</v>
      </c>
      <c r="I70">
        <v>1</v>
      </c>
      <c r="J70" t="s">
        <v>31</v>
      </c>
      <c r="K70" t="s">
        <v>31</v>
      </c>
      <c r="L70" t="s">
        <v>31</v>
      </c>
      <c r="M70" t="s">
        <v>31</v>
      </c>
      <c r="O70" s="78"/>
      <c r="P70" s="154"/>
      <c r="R70" s="122"/>
    </row>
    <row r="71" spans="1:18" ht="15.6">
      <c r="A71" s="76" t="s">
        <v>38</v>
      </c>
      <c r="B71" s="122">
        <f>R71</f>
        <v>0.55000000000000004</v>
      </c>
      <c r="C71" t="s">
        <v>39</v>
      </c>
      <c r="D71" s="17" t="s">
        <v>221</v>
      </c>
      <c r="E71" t="s">
        <v>29</v>
      </c>
      <c r="F71" s="74" t="s">
        <v>35</v>
      </c>
      <c r="G71" t="s">
        <v>33</v>
      </c>
      <c r="H71">
        <v>2</v>
      </c>
      <c r="I71">
        <f t="shared" ref="I71" si="3">LN(B71)</f>
        <v>-0.59783700075562041</v>
      </c>
      <c r="J71">
        <v>7.2284161474004766E-2</v>
      </c>
      <c r="K71" t="s">
        <v>31</v>
      </c>
      <c r="L71" t="s">
        <v>31</v>
      </c>
      <c r="M71" t="s">
        <v>31</v>
      </c>
      <c r="O71" s="78" t="s">
        <v>248</v>
      </c>
      <c r="P71" s="114">
        <v>0.55000000000000004</v>
      </c>
      <c r="Q71" t="s">
        <v>248</v>
      </c>
      <c r="R71" s="122">
        <f>P71</f>
        <v>0.55000000000000004</v>
      </c>
    </row>
    <row r="72" spans="1:18" ht="15.6">
      <c r="A72" s="67" t="s">
        <v>5</v>
      </c>
      <c r="B72" s="106" t="s">
        <v>1795</v>
      </c>
      <c r="C72" s="69"/>
      <c r="D72" s="70"/>
      <c r="E72" s="70"/>
      <c r="F72" s="70"/>
      <c r="G72" s="70"/>
      <c r="H72" s="70"/>
      <c r="I72" s="70"/>
      <c r="J72" s="70"/>
      <c r="K72" s="70"/>
      <c r="L72" s="70"/>
      <c r="M72" s="70"/>
    </row>
    <row r="73" spans="1:18">
      <c r="A73" s="71" t="s">
        <v>7</v>
      </c>
      <c r="B73" t="s">
        <v>1654</v>
      </c>
      <c r="C73" s="72"/>
    </row>
    <row r="74" spans="1:18">
      <c r="A74" s="126" t="s">
        <v>9</v>
      </c>
      <c r="B74" t="s">
        <v>1797</v>
      </c>
      <c r="C74" s="72"/>
    </row>
    <row r="75" spans="1:18" ht="15" customHeight="1">
      <c r="A75" s="71" t="s">
        <v>11</v>
      </c>
      <c r="B75" s="73" t="s">
        <v>796</v>
      </c>
    </row>
    <row r="76" spans="1:18">
      <c r="A76" s="71" t="s">
        <v>13</v>
      </c>
      <c r="B76" t="s">
        <v>14</v>
      </c>
    </row>
    <row r="77" spans="1:18">
      <c r="A77" s="71" t="s">
        <v>15</v>
      </c>
      <c r="B77" s="23">
        <f>B82</f>
        <v>0.08</v>
      </c>
    </row>
    <row r="78" spans="1:18">
      <c r="A78" s="71" t="s">
        <v>16</v>
      </c>
      <c r="B78" t="s">
        <v>17</v>
      </c>
    </row>
    <row r="79" spans="1:18">
      <c r="A79" s="71" t="s">
        <v>18</v>
      </c>
      <c r="B79" t="s">
        <v>37</v>
      </c>
    </row>
    <row r="80" spans="1:18" ht="15.6">
      <c r="A80" s="75" t="s">
        <v>19</v>
      </c>
    </row>
    <row r="81" spans="1:18" ht="15.6">
      <c r="A81" s="75" t="s">
        <v>20</v>
      </c>
      <c r="B81" s="16" t="s">
        <v>21</v>
      </c>
      <c r="C81" s="16" t="s">
        <v>18</v>
      </c>
      <c r="D81" s="16" t="s">
        <v>22</v>
      </c>
      <c r="E81" s="16" t="s">
        <v>7</v>
      </c>
      <c r="F81" s="16" t="s">
        <v>13</v>
      </c>
      <c r="G81" s="16" t="s">
        <v>16</v>
      </c>
      <c r="H81" s="16" t="s">
        <v>23</v>
      </c>
      <c r="I81" s="16" t="s">
        <v>24</v>
      </c>
      <c r="J81" s="16" t="s">
        <v>25</v>
      </c>
      <c r="K81" s="16" t="s">
        <v>26</v>
      </c>
      <c r="L81" s="16" t="s">
        <v>27</v>
      </c>
      <c r="M81" s="16" t="s">
        <v>28</v>
      </c>
      <c r="N81" s="16" t="s">
        <v>11</v>
      </c>
    </row>
    <row r="82" spans="1:18" ht="15.6">
      <c r="A82" s="88" t="s">
        <v>1795</v>
      </c>
      <c r="B82" s="23">
        <v>0.08</v>
      </c>
      <c r="C82" t="s">
        <v>37</v>
      </c>
      <c r="D82" s="109" t="s">
        <v>1754</v>
      </c>
      <c r="E82" t="s">
        <v>29</v>
      </c>
      <c r="F82" s="74" t="s">
        <v>14</v>
      </c>
      <c r="G82" t="s">
        <v>30</v>
      </c>
      <c r="H82">
        <v>1</v>
      </c>
      <c r="I82" s="23">
        <f>B82</f>
        <v>0.08</v>
      </c>
      <c r="J82" t="s">
        <v>31</v>
      </c>
      <c r="K82" t="s">
        <v>31</v>
      </c>
      <c r="L82" t="s">
        <v>31</v>
      </c>
      <c r="M82" t="s">
        <v>31</v>
      </c>
      <c r="O82" s="78"/>
      <c r="P82" s="90"/>
      <c r="Q82" t="s">
        <v>241</v>
      </c>
      <c r="R82" s="87">
        <v>0.01</v>
      </c>
    </row>
    <row r="83" spans="1:18" ht="15.6">
      <c r="A83" s="88" t="s">
        <v>653</v>
      </c>
      <c r="B83" s="23">
        <v>0.08</v>
      </c>
      <c r="C83" t="s">
        <v>37</v>
      </c>
      <c r="D83" s="17" t="s">
        <v>221</v>
      </c>
      <c r="E83" t="s">
        <v>29</v>
      </c>
      <c r="F83" s="74" t="s">
        <v>59</v>
      </c>
      <c r="G83" t="s">
        <v>33</v>
      </c>
      <c r="H83">
        <v>1</v>
      </c>
      <c r="I83" s="23">
        <f t="shared" ref="I83:I84" si="4">B83</f>
        <v>0.08</v>
      </c>
      <c r="J83" t="s">
        <v>31</v>
      </c>
      <c r="K83" t="s">
        <v>31</v>
      </c>
      <c r="L83" t="s">
        <v>31</v>
      </c>
      <c r="M83" t="s">
        <v>31</v>
      </c>
      <c r="O83" s="78"/>
      <c r="P83" s="154"/>
      <c r="R83" s="122"/>
    </row>
    <row r="84" spans="1:18">
      <c r="A84" s="88" t="s">
        <v>707</v>
      </c>
      <c r="B84" s="23">
        <v>0.08</v>
      </c>
      <c r="C84" t="s">
        <v>37</v>
      </c>
      <c r="D84" t="s">
        <v>221</v>
      </c>
      <c r="E84" t="s">
        <v>29</v>
      </c>
      <c r="F84" t="s">
        <v>59</v>
      </c>
      <c r="G84" t="s">
        <v>33</v>
      </c>
      <c r="H84">
        <v>1</v>
      </c>
      <c r="I84" s="23">
        <f t="shared" si="4"/>
        <v>0.08</v>
      </c>
      <c r="J84" t="s">
        <v>31</v>
      </c>
      <c r="K84" t="s">
        <v>31</v>
      </c>
      <c r="L84" t="s">
        <v>31</v>
      </c>
      <c r="M84" t="s">
        <v>31</v>
      </c>
    </row>
    <row r="85" spans="1:18" s="70" customFormat="1" ht="15.6">
      <c r="A85" s="67" t="s">
        <v>5</v>
      </c>
      <c r="B85" s="106" t="s">
        <v>1796</v>
      </c>
      <c r="C85" s="69"/>
    </row>
    <row r="86" spans="1:18">
      <c r="A86" s="71" t="s">
        <v>7</v>
      </c>
      <c r="B86" t="s">
        <v>1654</v>
      </c>
      <c r="C86" s="72"/>
    </row>
    <row r="87" spans="1:18">
      <c r="A87" s="126" t="s">
        <v>9</v>
      </c>
      <c r="B87" t="s">
        <v>1798</v>
      </c>
      <c r="C87" s="72"/>
    </row>
    <row r="88" spans="1:18" ht="15.75" customHeight="1">
      <c r="A88" s="71" t="s">
        <v>11</v>
      </c>
      <c r="B88" s="73" t="s">
        <v>796</v>
      </c>
    </row>
    <row r="89" spans="1:18">
      <c r="A89" s="71" t="s">
        <v>13</v>
      </c>
      <c r="B89" t="s">
        <v>14</v>
      </c>
    </row>
    <row r="90" spans="1:18">
      <c r="A90" s="71" t="s">
        <v>15</v>
      </c>
      <c r="B90">
        <v>1</v>
      </c>
    </row>
    <row r="91" spans="1:18">
      <c r="A91" s="71" t="s">
        <v>16</v>
      </c>
      <c r="B91" t="s">
        <v>17</v>
      </c>
    </row>
    <row r="92" spans="1:18">
      <c r="A92" s="71" t="s">
        <v>18</v>
      </c>
      <c r="B92" t="s">
        <v>18</v>
      </c>
    </row>
    <row r="93" spans="1:18" ht="15.6">
      <c r="A93" s="75" t="s">
        <v>19</v>
      </c>
    </row>
    <row r="94" spans="1:18" ht="15.6">
      <c r="A94" s="75" t="s">
        <v>20</v>
      </c>
      <c r="B94" s="16" t="s">
        <v>21</v>
      </c>
      <c r="C94" s="16" t="s">
        <v>18</v>
      </c>
      <c r="D94" s="16" t="s">
        <v>22</v>
      </c>
      <c r="E94" s="16" t="s">
        <v>7</v>
      </c>
      <c r="F94" s="16" t="s">
        <v>13</v>
      </c>
      <c r="G94" s="16" t="s">
        <v>16</v>
      </c>
      <c r="H94" s="16" t="s">
        <v>23</v>
      </c>
      <c r="I94" s="16" t="s">
        <v>24</v>
      </c>
      <c r="J94" s="16" t="s">
        <v>25</v>
      </c>
      <c r="K94" s="16" t="s">
        <v>26</v>
      </c>
      <c r="L94" s="16" t="s">
        <v>27</v>
      </c>
      <c r="M94" s="16" t="s">
        <v>28</v>
      </c>
      <c r="N94" s="16" t="s">
        <v>11</v>
      </c>
    </row>
    <row r="95" spans="1:18" ht="15.6">
      <c r="A95" s="88" t="s">
        <v>1796</v>
      </c>
      <c r="B95" s="122">
        <v>1</v>
      </c>
      <c r="C95" t="s">
        <v>18</v>
      </c>
      <c r="D95" s="109" t="s">
        <v>1754</v>
      </c>
      <c r="E95" t="s">
        <v>29</v>
      </c>
      <c r="F95" s="74" t="s">
        <v>14</v>
      </c>
      <c r="G95" t="s">
        <v>30</v>
      </c>
      <c r="H95">
        <v>1</v>
      </c>
      <c r="I95">
        <v>1</v>
      </c>
      <c r="J95" t="s">
        <v>31</v>
      </c>
      <c r="K95" t="s">
        <v>31</v>
      </c>
      <c r="L95" t="s">
        <v>31</v>
      </c>
      <c r="M95" t="s">
        <v>31</v>
      </c>
      <c r="O95" s="78"/>
      <c r="P95" s="154"/>
      <c r="R95" s="122"/>
    </row>
    <row r="96" spans="1:18" ht="15.6">
      <c r="A96" s="88" t="s">
        <v>1799</v>
      </c>
      <c r="B96">
        <v>1</v>
      </c>
      <c r="C96" t="s">
        <v>18</v>
      </c>
      <c r="D96" s="109" t="s">
        <v>1754</v>
      </c>
      <c r="E96" t="s">
        <v>29</v>
      </c>
      <c r="F96" s="74" t="s">
        <v>14</v>
      </c>
      <c r="G96" t="s">
        <v>33</v>
      </c>
      <c r="H96">
        <v>1</v>
      </c>
      <c r="I96">
        <v>1</v>
      </c>
      <c r="J96" t="s">
        <v>31</v>
      </c>
      <c r="K96" t="s">
        <v>31</v>
      </c>
      <c r="L96" t="s">
        <v>31</v>
      </c>
      <c r="M96" t="s">
        <v>31</v>
      </c>
      <c r="O96" s="78"/>
      <c r="P96" s="154"/>
    </row>
    <row r="97" spans="1:18" ht="15.6">
      <c r="A97" s="76" t="s">
        <v>38</v>
      </c>
      <c r="B97" s="122">
        <f>R97</f>
        <v>0.05</v>
      </c>
      <c r="C97" t="s">
        <v>39</v>
      </c>
      <c r="D97" s="17" t="s">
        <v>221</v>
      </c>
      <c r="E97" t="s">
        <v>29</v>
      </c>
      <c r="F97" s="74" t="s">
        <v>35</v>
      </c>
      <c r="G97" t="s">
        <v>33</v>
      </c>
      <c r="H97">
        <v>2</v>
      </c>
      <c r="I97">
        <f t="shared" ref="I97" si="5">LN(B97)</f>
        <v>-2.9957322735539909</v>
      </c>
      <c r="J97">
        <v>7.2284161474004766E-2</v>
      </c>
      <c r="K97" t="s">
        <v>31</v>
      </c>
      <c r="L97" t="s">
        <v>31</v>
      </c>
      <c r="M97" t="s">
        <v>31</v>
      </c>
      <c r="O97" s="78" t="s">
        <v>248</v>
      </c>
      <c r="P97" s="114">
        <v>0.05</v>
      </c>
      <c r="Q97" t="s">
        <v>248</v>
      </c>
      <c r="R97" s="122">
        <f>P97</f>
        <v>0.05</v>
      </c>
    </row>
    <row r="98" spans="1:18" s="70" customFormat="1" ht="15.6">
      <c r="A98" s="67" t="s">
        <v>5</v>
      </c>
      <c r="B98" s="106" t="s">
        <v>1799</v>
      </c>
      <c r="C98" s="69"/>
    </row>
    <row r="99" spans="1:18">
      <c r="A99" s="71" t="s">
        <v>7</v>
      </c>
      <c r="B99" t="s">
        <v>1654</v>
      </c>
      <c r="C99" s="72"/>
    </row>
    <row r="100" spans="1:18">
      <c r="A100" s="126" t="s">
        <v>9</v>
      </c>
      <c r="B100" t="s">
        <v>1800</v>
      </c>
      <c r="C100" s="72"/>
    </row>
    <row r="101" spans="1:18" ht="15.75" customHeight="1">
      <c r="A101" s="71" t="s">
        <v>11</v>
      </c>
      <c r="B101" s="73" t="s">
        <v>796</v>
      </c>
    </row>
    <row r="102" spans="1:18">
      <c r="A102" s="71" t="s">
        <v>13</v>
      </c>
      <c r="B102" t="s">
        <v>14</v>
      </c>
    </row>
    <row r="103" spans="1:18">
      <c r="A103" s="71" t="s">
        <v>15</v>
      </c>
      <c r="B103">
        <v>1</v>
      </c>
    </row>
    <row r="104" spans="1:18">
      <c r="A104" s="71" t="s">
        <v>16</v>
      </c>
      <c r="B104" t="s">
        <v>17</v>
      </c>
    </row>
    <row r="105" spans="1:18">
      <c r="A105" s="71" t="s">
        <v>18</v>
      </c>
      <c r="B105" t="s">
        <v>18</v>
      </c>
    </row>
    <row r="106" spans="1:18" ht="15.6">
      <c r="A106" s="75" t="s">
        <v>19</v>
      </c>
    </row>
    <row r="107" spans="1:18" ht="15.6">
      <c r="A107" s="75" t="s">
        <v>20</v>
      </c>
      <c r="B107" s="16" t="s">
        <v>21</v>
      </c>
      <c r="C107" s="16" t="s">
        <v>18</v>
      </c>
      <c r="D107" s="16" t="s">
        <v>22</v>
      </c>
      <c r="E107" s="16" t="s">
        <v>7</v>
      </c>
      <c r="F107" s="16" t="s">
        <v>13</v>
      </c>
      <c r="G107" s="16" t="s">
        <v>16</v>
      </c>
      <c r="H107" s="16" t="s">
        <v>23</v>
      </c>
      <c r="I107" s="16" t="s">
        <v>24</v>
      </c>
      <c r="J107" s="16" t="s">
        <v>25</v>
      </c>
      <c r="K107" s="16" t="s">
        <v>26</v>
      </c>
      <c r="L107" s="16" t="s">
        <v>27</v>
      </c>
      <c r="M107" s="16" t="s">
        <v>28</v>
      </c>
      <c r="N107" s="16" t="s">
        <v>11</v>
      </c>
      <c r="Q107">
        <f>B.Reused!O36</f>
        <v>5.7999999999999989</v>
      </c>
      <c r="R107" t="s">
        <v>891</v>
      </c>
    </row>
    <row r="108" spans="1:18" ht="15.6">
      <c r="A108" s="88" t="s">
        <v>1799</v>
      </c>
      <c r="B108">
        <v>1</v>
      </c>
      <c r="C108" t="s">
        <v>18</v>
      </c>
      <c r="D108" s="17" t="s">
        <v>1754</v>
      </c>
      <c r="E108" t="s">
        <v>29</v>
      </c>
      <c r="F108" s="74" t="s">
        <v>14</v>
      </c>
      <c r="G108" t="s">
        <v>30</v>
      </c>
      <c r="H108">
        <v>1</v>
      </c>
      <c r="I108">
        <v>1</v>
      </c>
      <c r="J108" t="s">
        <v>31</v>
      </c>
      <c r="K108" t="s">
        <v>31</v>
      </c>
      <c r="L108" t="s">
        <v>31</v>
      </c>
      <c r="M108" t="s">
        <v>31</v>
      </c>
      <c r="P108" s="155"/>
    </row>
    <row r="109" spans="1:18" ht="15.6">
      <c r="A109" s="76" t="s">
        <v>1801</v>
      </c>
      <c r="B109" s="156">
        <f>B133</f>
        <v>5.1999999999999998E-2</v>
      </c>
      <c r="C109" t="s">
        <v>609</v>
      </c>
      <c r="D109" s="17" t="s">
        <v>1754</v>
      </c>
      <c r="E109" t="s">
        <v>29</v>
      </c>
      <c r="F109" s="74" t="s">
        <v>14</v>
      </c>
      <c r="G109" t="s">
        <v>33</v>
      </c>
      <c r="H109">
        <v>1</v>
      </c>
      <c r="I109" s="156">
        <f>B109</f>
        <v>5.1999999999999998E-2</v>
      </c>
      <c r="J109" t="s">
        <v>31</v>
      </c>
      <c r="K109" t="s">
        <v>31</v>
      </c>
      <c r="L109" t="s">
        <v>31</v>
      </c>
      <c r="M109" t="s">
        <v>31</v>
      </c>
      <c r="O109" s="110"/>
      <c r="P109" s="111"/>
      <c r="Q109" s="122"/>
    </row>
    <row r="110" spans="1:18" ht="15.6">
      <c r="A110" t="s">
        <v>1756</v>
      </c>
      <c r="B110" s="87">
        <f>R110</f>
        <v>7.0689655172413808E-3</v>
      </c>
      <c r="C110" s="22" t="s">
        <v>609</v>
      </c>
      <c r="D110" s="17" t="s">
        <v>1754</v>
      </c>
      <c r="E110" t="s">
        <v>29</v>
      </c>
      <c r="F110" s="74" t="s">
        <v>14</v>
      </c>
      <c r="G110" t="s">
        <v>33</v>
      </c>
      <c r="H110">
        <v>1</v>
      </c>
      <c r="I110" s="156">
        <f t="shared" ref="I110:I111" si="6">B110</f>
        <v>7.0689655172413808E-3</v>
      </c>
      <c r="J110" t="s">
        <v>31</v>
      </c>
      <c r="K110" t="s">
        <v>31</v>
      </c>
      <c r="L110" t="s">
        <v>31</v>
      </c>
      <c r="M110" t="s">
        <v>31</v>
      </c>
      <c r="O110" s="157" t="s">
        <v>580</v>
      </c>
      <c r="P110" s="158">
        <v>41</v>
      </c>
      <c r="Q110" s="104" t="s">
        <v>1683</v>
      </c>
      <c r="R110" s="87">
        <f>P110*0.001/Q107</f>
        <v>7.0689655172413808E-3</v>
      </c>
    </row>
    <row r="111" spans="1:18" ht="15.6">
      <c r="A111" t="s">
        <v>1802</v>
      </c>
      <c r="B111">
        <v>1</v>
      </c>
      <c r="C111" t="s">
        <v>18</v>
      </c>
      <c r="D111" s="17" t="s">
        <v>1754</v>
      </c>
      <c r="E111" t="s">
        <v>29</v>
      </c>
      <c r="F111" s="74" t="s">
        <v>14</v>
      </c>
      <c r="G111" t="s">
        <v>33</v>
      </c>
      <c r="H111">
        <v>1</v>
      </c>
      <c r="I111" s="156">
        <f t="shared" si="6"/>
        <v>1</v>
      </c>
      <c r="J111" t="s">
        <v>31</v>
      </c>
      <c r="K111" t="s">
        <v>31</v>
      </c>
      <c r="L111" t="s">
        <v>31</v>
      </c>
      <c r="M111" t="s">
        <v>31</v>
      </c>
      <c r="O111" s="110"/>
      <c r="P111" s="111"/>
    </row>
    <row r="112" spans="1:18" ht="15.6">
      <c r="A112" s="88" t="s">
        <v>179</v>
      </c>
      <c r="B112" s="87">
        <f>R112</f>
        <v>2.3000000000000001E-4</v>
      </c>
      <c r="C112" t="s">
        <v>37</v>
      </c>
      <c r="D112" s="17" t="s">
        <v>221</v>
      </c>
      <c r="E112" t="s">
        <v>29</v>
      </c>
      <c r="F112" s="74" t="s">
        <v>35</v>
      </c>
      <c r="G112" t="s">
        <v>33</v>
      </c>
      <c r="H112">
        <v>2</v>
      </c>
      <c r="I112">
        <f>LN(B112)</f>
        <v>-8.3774312490410789</v>
      </c>
      <c r="J112">
        <v>2.8722813232690055E-2</v>
      </c>
      <c r="K112" t="s">
        <v>31</v>
      </c>
      <c r="L112" t="s">
        <v>31</v>
      </c>
      <c r="M112" t="s">
        <v>31</v>
      </c>
      <c r="O112" s="157" t="s">
        <v>580</v>
      </c>
      <c r="P112" s="151">
        <v>0.23</v>
      </c>
      <c r="Q112" t="s">
        <v>241</v>
      </c>
      <c r="R112" s="87">
        <f>P112*10^-3</f>
        <v>2.3000000000000001E-4</v>
      </c>
    </row>
    <row r="113" spans="1:18" s="70" customFormat="1" ht="15.6">
      <c r="A113" s="67" t="s">
        <v>5</v>
      </c>
      <c r="B113" s="123" t="s">
        <v>1802</v>
      </c>
      <c r="C113" s="69"/>
    </row>
    <row r="114" spans="1:18">
      <c r="A114" s="71" t="s">
        <v>7</v>
      </c>
      <c r="B114" t="s">
        <v>1654</v>
      </c>
      <c r="C114" s="72"/>
    </row>
    <row r="115" spans="1:18">
      <c r="A115" s="126" t="s">
        <v>9</v>
      </c>
      <c r="B115" t="s">
        <v>1803</v>
      </c>
      <c r="C115" s="72"/>
    </row>
    <row r="116" spans="1:18" ht="15.75" customHeight="1">
      <c r="A116" s="71" t="s">
        <v>11</v>
      </c>
      <c r="B116" s="73" t="s">
        <v>796</v>
      </c>
    </row>
    <row r="117" spans="1:18">
      <c r="A117" s="71" t="s">
        <v>13</v>
      </c>
      <c r="B117" t="s">
        <v>14</v>
      </c>
    </row>
    <row r="118" spans="1:18">
      <c r="A118" s="71" t="s">
        <v>15</v>
      </c>
      <c r="B118">
        <v>1</v>
      </c>
    </row>
    <row r="119" spans="1:18">
      <c r="A119" s="71" t="s">
        <v>16</v>
      </c>
      <c r="B119" t="s">
        <v>17</v>
      </c>
    </row>
    <row r="120" spans="1:18">
      <c r="A120" s="71" t="s">
        <v>18</v>
      </c>
      <c r="B120" t="s">
        <v>18</v>
      </c>
    </row>
    <row r="121" spans="1:18" ht="15.6">
      <c r="A121" s="75" t="s">
        <v>19</v>
      </c>
    </row>
    <row r="122" spans="1:18" ht="15.6">
      <c r="A122" s="75" t="s">
        <v>20</v>
      </c>
      <c r="B122" s="16" t="s">
        <v>21</v>
      </c>
      <c r="C122" s="16" t="s">
        <v>18</v>
      </c>
      <c r="D122" s="16" t="s">
        <v>22</v>
      </c>
      <c r="E122" s="16" t="s">
        <v>7</v>
      </c>
      <c r="F122" s="16" t="s">
        <v>13</v>
      </c>
      <c r="G122" s="16" t="s">
        <v>16</v>
      </c>
      <c r="H122" s="16" t="s">
        <v>23</v>
      </c>
      <c r="I122" s="16" t="s">
        <v>24</v>
      </c>
      <c r="J122" s="16" t="s">
        <v>25</v>
      </c>
      <c r="K122" s="16" t="s">
        <v>26</v>
      </c>
      <c r="L122" s="16" t="s">
        <v>27</v>
      </c>
      <c r="M122" s="16" t="s">
        <v>28</v>
      </c>
      <c r="N122" s="16" t="s">
        <v>11</v>
      </c>
    </row>
    <row r="123" spans="1:18" ht="15.6">
      <c r="A123" t="s">
        <v>1802</v>
      </c>
      <c r="B123">
        <v>1</v>
      </c>
      <c r="C123" t="s">
        <v>18</v>
      </c>
      <c r="D123" s="109" t="s">
        <v>1754</v>
      </c>
      <c r="E123" t="s">
        <v>29</v>
      </c>
      <c r="F123" s="74" t="s">
        <v>14</v>
      </c>
      <c r="G123" t="s">
        <v>30</v>
      </c>
      <c r="H123">
        <v>1</v>
      </c>
      <c r="I123">
        <v>1</v>
      </c>
      <c r="J123" t="s">
        <v>31</v>
      </c>
      <c r="K123" t="s">
        <v>31</v>
      </c>
      <c r="L123" t="s">
        <v>31</v>
      </c>
      <c r="M123" t="s">
        <v>31</v>
      </c>
    </row>
    <row r="124" spans="1:18" ht="15.6">
      <c r="A124" s="88" t="s">
        <v>614</v>
      </c>
      <c r="B124">
        <f>R124</f>
        <v>0.45</v>
      </c>
      <c r="C124" t="s">
        <v>37</v>
      </c>
      <c r="D124" s="17" t="s">
        <v>221</v>
      </c>
      <c r="E124" t="s">
        <v>29</v>
      </c>
      <c r="F124" t="s">
        <v>59</v>
      </c>
      <c r="G124" t="s">
        <v>33</v>
      </c>
      <c r="H124">
        <v>1</v>
      </c>
      <c r="I124">
        <f>B124</f>
        <v>0.45</v>
      </c>
      <c r="J124" t="s">
        <v>31</v>
      </c>
      <c r="K124" t="s">
        <v>31</v>
      </c>
      <c r="L124" t="s">
        <v>31</v>
      </c>
      <c r="M124" t="s">
        <v>31</v>
      </c>
      <c r="P124" s="159">
        <v>0.45</v>
      </c>
      <c r="Q124" t="s">
        <v>241</v>
      </c>
      <c r="R124">
        <f>P124</f>
        <v>0.45</v>
      </c>
    </row>
    <row r="125" spans="1:18">
      <c r="A125" s="88" t="s">
        <v>913</v>
      </c>
      <c r="B125">
        <f t="shared" ref="B125:B127" si="7">R125</f>
        <v>0.29899999999999999</v>
      </c>
      <c r="C125" t="s">
        <v>37</v>
      </c>
      <c r="D125" t="s">
        <v>221</v>
      </c>
      <c r="E125" t="s">
        <v>29</v>
      </c>
      <c r="F125" t="s">
        <v>59</v>
      </c>
      <c r="G125" t="s">
        <v>33</v>
      </c>
      <c r="H125">
        <v>2</v>
      </c>
      <c r="I125">
        <f>LN(B125)</f>
        <v>-1.2073117055914506</v>
      </c>
      <c r="J125">
        <v>3.7749172176353707E-2</v>
      </c>
      <c r="K125" t="s">
        <v>31</v>
      </c>
      <c r="L125" t="s">
        <v>31</v>
      </c>
      <c r="M125" t="s">
        <v>31</v>
      </c>
      <c r="O125" s="101" t="s">
        <v>580</v>
      </c>
      <c r="P125" s="114">
        <v>299</v>
      </c>
      <c r="Q125" t="s">
        <v>241</v>
      </c>
      <c r="R125">
        <f>P125*0.001</f>
        <v>0.29899999999999999</v>
      </c>
    </row>
    <row r="126" spans="1:18">
      <c r="A126" s="88" t="s">
        <v>914</v>
      </c>
      <c r="B126">
        <f t="shared" si="7"/>
        <v>1.7899999999999999E-2</v>
      </c>
      <c r="C126" t="s">
        <v>37</v>
      </c>
      <c r="D126" t="s">
        <v>221</v>
      </c>
      <c r="E126" t="s">
        <v>29</v>
      </c>
      <c r="F126" t="s">
        <v>59</v>
      </c>
      <c r="G126" t="s">
        <v>33</v>
      </c>
      <c r="H126">
        <v>2</v>
      </c>
      <c r="I126">
        <f>LN(B126)</f>
        <v>-4.0229545661354278</v>
      </c>
      <c r="J126">
        <v>3.7749172176353707E-2</v>
      </c>
      <c r="K126" t="s">
        <v>31</v>
      </c>
      <c r="L126" t="s">
        <v>31</v>
      </c>
      <c r="M126" t="s">
        <v>31</v>
      </c>
      <c r="O126" s="101" t="s">
        <v>580</v>
      </c>
      <c r="P126" s="114">
        <v>17.899999999999999</v>
      </c>
      <c r="Q126" t="s">
        <v>241</v>
      </c>
      <c r="R126">
        <f t="shared" ref="R126:R127" si="8">P126*0.001</f>
        <v>1.7899999999999999E-2</v>
      </c>
    </row>
    <row r="127" spans="1:18">
      <c r="A127" s="88" t="s">
        <v>915</v>
      </c>
      <c r="B127">
        <f t="shared" si="7"/>
        <v>0.13500000000000001</v>
      </c>
      <c r="C127" t="s">
        <v>37</v>
      </c>
      <c r="D127" t="s">
        <v>221</v>
      </c>
      <c r="E127" t="s">
        <v>29</v>
      </c>
      <c r="F127" t="s">
        <v>59</v>
      </c>
      <c r="G127" t="s">
        <v>33</v>
      </c>
      <c r="H127">
        <v>2</v>
      </c>
      <c r="I127">
        <f>LN(B127)</f>
        <v>-2.0024805005437076</v>
      </c>
      <c r="J127">
        <v>3.7749172176353707E-2</v>
      </c>
      <c r="K127" t="s">
        <v>31</v>
      </c>
      <c r="L127" t="s">
        <v>31</v>
      </c>
      <c r="M127" t="s">
        <v>31</v>
      </c>
      <c r="O127" s="101" t="s">
        <v>580</v>
      </c>
      <c r="P127" s="114">
        <v>135</v>
      </c>
      <c r="Q127" t="s">
        <v>241</v>
      </c>
      <c r="R127">
        <f t="shared" si="8"/>
        <v>0.13500000000000001</v>
      </c>
    </row>
    <row r="128" spans="1:18" s="70" customFormat="1" ht="15.6">
      <c r="A128" s="67" t="s">
        <v>5</v>
      </c>
      <c r="B128" s="106" t="s">
        <v>1801</v>
      </c>
      <c r="C128" s="69"/>
    </row>
    <row r="129" spans="1:18">
      <c r="A129" s="71" t="s">
        <v>7</v>
      </c>
      <c r="B129" t="s">
        <v>1654</v>
      </c>
      <c r="C129" s="72"/>
    </row>
    <row r="130" spans="1:18">
      <c r="A130" s="126" t="s">
        <v>9</v>
      </c>
      <c r="B130" t="s">
        <v>1804</v>
      </c>
      <c r="C130" s="72"/>
    </row>
    <row r="131" spans="1:18" ht="15.75" customHeight="1">
      <c r="A131" s="71" t="s">
        <v>11</v>
      </c>
      <c r="B131" s="73" t="s">
        <v>796</v>
      </c>
    </row>
    <row r="132" spans="1:18">
      <c r="A132" s="71" t="s">
        <v>13</v>
      </c>
      <c r="B132" t="s">
        <v>14</v>
      </c>
    </row>
    <row r="133" spans="1:18">
      <c r="A133" s="71" t="s">
        <v>15</v>
      </c>
      <c r="B133" s="127">
        <f>B138</f>
        <v>5.1999999999999998E-2</v>
      </c>
    </row>
    <row r="134" spans="1:18">
      <c r="A134" s="71" t="s">
        <v>16</v>
      </c>
      <c r="B134" t="s">
        <v>17</v>
      </c>
    </row>
    <row r="135" spans="1:18">
      <c r="A135" s="71" t="s">
        <v>18</v>
      </c>
      <c r="B135" t="s">
        <v>609</v>
      </c>
    </row>
    <row r="136" spans="1:18" ht="15.6">
      <c r="A136" s="75" t="s">
        <v>19</v>
      </c>
    </row>
    <row r="137" spans="1:18" ht="15.6">
      <c r="A137" s="16" t="s">
        <v>20</v>
      </c>
      <c r="B137" s="16" t="s">
        <v>21</v>
      </c>
      <c r="C137" s="16" t="s">
        <v>18</v>
      </c>
      <c r="D137" s="16" t="s">
        <v>22</v>
      </c>
      <c r="E137" s="16" t="s">
        <v>7</v>
      </c>
      <c r="F137" s="16" t="s">
        <v>13</v>
      </c>
      <c r="G137" s="16" t="s">
        <v>16</v>
      </c>
      <c r="H137" s="16" t="s">
        <v>23</v>
      </c>
      <c r="I137" s="16" t="s">
        <v>24</v>
      </c>
      <c r="J137" s="16" t="s">
        <v>25</v>
      </c>
      <c r="K137" s="16" t="s">
        <v>26</v>
      </c>
      <c r="L137" s="16" t="s">
        <v>27</v>
      </c>
      <c r="M137" s="16" t="s">
        <v>28</v>
      </c>
      <c r="N137" s="16" t="s">
        <v>11</v>
      </c>
    </row>
    <row r="138" spans="1:18" ht="15.6">
      <c r="A138" s="17" t="s">
        <v>1801</v>
      </c>
      <c r="B138" s="162">
        <f>P138</f>
        <v>5.1999999999999998E-2</v>
      </c>
      <c r="C138" t="s">
        <v>609</v>
      </c>
      <c r="D138" s="109" t="s">
        <v>1754</v>
      </c>
      <c r="E138" t="s">
        <v>29</v>
      </c>
      <c r="F138" s="74" t="s">
        <v>14</v>
      </c>
      <c r="G138" t="s">
        <v>30</v>
      </c>
      <c r="H138">
        <v>1</v>
      </c>
      <c r="I138" s="156">
        <f>B138</f>
        <v>5.1999999999999998E-2</v>
      </c>
      <c r="J138" t="s">
        <v>31</v>
      </c>
      <c r="K138" t="s">
        <v>31</v>
      </c>
      <c r="L138" t="s">
        <v>31</v>
      </c>
      <c r="M138" t="s">
        <v>31</v>
      </c>
      <c r="O138" s="110"/>
      <c r="P138" s="160">
        <f>P139</f>
        <v>5.1999999999999998E-2</v>
      </c>
      <c r="Q138" s="122"/>
    </row>
    <row r="139" spans="1:18" ht="15.6">
      <c r="A139" s="59" t="s">
        <v>1805</v>
      </c>
      <c r="B139" s="162">
        <f>P139</f>
        <v>5.1999999999999998E-2</v>
      </c>
      <c r="C139" t="s">
        <v>609</v>
      </c>
      <c r="D139" s="109" t="s">
        <v>1754</v>
      </c>
      <c r="E139" t="s">
        <v>29</v>
      </c>
      <c r="F139" s="74" t="s">
        <v>14</v>
      </c>
      <c r="G139" t="s">
        <v>33</v>
      </c>
      <c r="H139">
        <v>1</v>
      </c>
      <c r="I139" s="156">
        <f>B139</f>
        <v>5.1999999999999998E-2</v>
      </c>
      <c r="J139" t="s">
        <v>31</v>
      </c>
      <c r="K139" t="s">
        <v>31</v>
      </c>
      <c r="L139" t="s">
        <v>31</v>
      </c>
      <c r="M139" t="s">
        <v>31</v>
      </c>
      <c r="P139" s="160">
        <f>P152</f>
        <v>5.1999999999999998E-2</v>
      </c>
    </row>
    <row r="140" spans="1:18">
      <c r="A140" s="88" t="s">
        <v>680</v>
      </c>
      <c r="B140">
        <f>R140</f>
        <v>4.7000000000000002E-3</v>
      </c>
      <c r="C140" t="s">
        <v>37</v>
      </c>
      <c r="D140" t="s">
        <v>221</v>
      </c>
      <c r="E140" t="s">
        <v>29</v>
      </c>
      <c r="F140" t="s">
        <v>35</v>
      </c>
      <c r="G140" t="s">
        <v>33</v>
      </c>
      <c r="H140">
        <v>2</v>
      </c>
      <c r="I140">
        <f>LN(B140)</f>
        <v>-5.3601927702661243</v>
      </c>
      <c r="J140">
        <v>0.20928449536456342</v>
      </c>
      <c r="K140" t="s">
        <v>31</v>
      </c>
      <c r="L140" t="s">
        <v>31</v>
      </c>
      <c r="M140" t="s">
        <v>31</v>
      </c>
      <c r="O140" s="101" t="s">
        <v>580</v>
      </c>
      <c r="P140" s="114">
        <v>4.7</v>
      </c>
      <c r="Q140" t="s">
        <v>241</v>
      </c>
      <c r="R140">
        <f>0.001*P140</f>
        <v>4.7000000000000002E-3</v>
      </c>
    </row>
    <row r="141" spans="1:18">
      <c r="A141" s="88" t="s">
        <v>545</v>
      </c>
      <c r="B141">
        <f>R141</f>
        <v>4.7000000000000002E-3</v>
      </c>
      <c r="C141" t="s">
        <v>37</v>
      </c>
      <c r="D141" t="s">
        <v>221</v>
      </c>
      <c r="E141" t="s">
        <v>29</v>
      </c>
      <c r="F141" t="s">
        <v>35</v>
      </c>
      <c r="G141" t="s">
        <v>33</v>
      </c>
      <c r="H141">
        <v>2</v>
      </c>
      <c r="I141">
        <f>LN(B141)</f>
        <v>-5.3601927702661243</v>
      </c>
      <c r="J141">
        <v>0.20928449536456342</v>
      </c>
      <c r="K141" t="s">
        <v>31</v>
      </c>
      <c r="L141" t="s">
        <v>31</v>
      </c>
      <c r="M141" t="s">
        <v>31</v>
      </c>
      <c r="O141" s="101" t="s">
        <v>580</v>
      </c>
      <c r="P141" s="114">
        <v>4.7</v>
      </c>
      <c r="Q141" t="s">
        <v>241</v>
      </c>
      <c r="R141">
        <f>0.001*P141</f>
        <v>4.7000000000000002E-3</v>
      </c>
    </row>
    <row r="142" spans="1:18" s="70" customFormat="1" ht="15.6">
      <c r="A142" s="67" t="s">
        <v>5</v>
      </c>
      <c r="B142" s="161" t="s">
        <v>1805</v>
      </c>
      <c r="C142" s="69"/>
    </row>
    <row r="143" spans="1:18">
      <c r="A143" s="71" t="s">
        <v>7</v>
      </c>
      <c r="B143" t="s">
        <v>1654</v>
      </c>
      <c r="C143" s="72"/>
    </row>
    <row r="144" spans="1:18">
      <c r="A144" s="126" t="s">
        <v>9</v>
      </c>
      <c r="B144" t="s">
        <v>1806</v>
      </c>
      <c r="C144" s="72"/>
    </row>
    <row r="145" spans="1:18" ht="15.75" customHeight="1">
      <c r="A145" s="71" t="s">
        <v>11</v>
      </c>
      <c r="B145" s="73" t="s">
        <v>796</v>
      </c>
    </row>
    <row r="146" spans="1:18">
      <c r="A146" s="71" t="s">
        <v>13</v>
      </c>
      <c r="B146" t="s">
        <v>14</v>
      </c>
    </row>
    <row r="147" spans="1:18">
      <c r="A147" s="71" t="s">
        <v>15</v>
      </c>
      <c r="B147" s="127">
        <f>B152</f>
        <v>5.1999999999999998E-2</v>
      </c>
    </row>
    <row r="148" spans="1:18">
      <c r="A148" s="71" t="s">
        <v>16</v>
      </c>
      <c r="B148" t="s">
        <v>17</v>
      </c>
    </row>
    <row r="149" spans="1:18">
      <c r="A149" s="71" t="s">
        <v>18</v>
      </c>
      <c r="B149" t="s">
        <v>609</v>
      </c>
    </row>
    <row r="150" spans="1:18" ht="15.6">
      <c r="A150" s="75" t="s">
        <v>19</v>
      </c>
    </row>
    <row r="151" spans="1:18" ht="15.6">
      <c r="A151" s="16" t="s">
        <v>20</v>
      </c>
      <c r="B151" s="16" t="s">
        <v>21</v>
      </c>
      <c r="C151" s="16" t="s">
        <v>18</v>
      </c>
      <c r="D151" s="16" t="s">
        <v>22</v>
      </c>
      <c r="E151" s="16" t="s">
        <v>7</v>
      </c>
      <c r="F151" s="16" t="s">
        <v>13</v>
      </c>
      <c r="G151" s="16" t="s">
        <v>16</v>
      </c>
      <c r="H151" s="16" t="s">
        <v>23</v>
      </c>
      <c r="I151" s="16" t="s">
        <v>24</v>
      </c>
      <c r="J151" s="16" t="s">
        <v>25</v>
      </c>
      <c r="K151" s="16" t="s">
        <v>26</v>
      </c>
      <c r="L151" s="16" t="s">
        <v>27</v>
      </c>
      <c r="M151" s="16" t="s">
        <v>28</v>
      </c>
      <c r="N151" s="16" t="s">
        <v>11</v>
      </c>
    </row>
    <row r="152" spans="1:18" ht="15.6">
      <c r="A152" s="59" t="s">
        <v>1805</v>
      </c>
      <c r="B152" s="162">
        <f>P152</f>
        <v>5.1999999999999998E-2</v>
      </c>
      <c r="C152" t="s">
        <v>609</v>
      </c>
      <c r="D152" s="109" t="s">
        <v>1754</v>
      </c>
      <c r="E152" t="s">
        <v>29</v>
      </c>
      <c r="F152" s="74" t="s">
        <v>14</v>
      </c>
      <c r="G152" t="s">
        <v>30</v>
      </c>
      <c r="H152">
        <v>1</v>
      </c>
      <c r="I152" s="156">
        <f>B152</f>
        <v>5.1999999999999998E-2</v>
      </c>
      <c r="J152" t="s">
        <v>31</v>
      </c>
      <c r="K152" t="s">
        <v>31</v>
      </c>
      <c r="L152" t="s">
        <v>31</v>
      </c>
      <c r="M152" t="s">
        <v>31</v>
      </c>
      <c r="O152" s="163" t="s">
        <v>610</v>
      </c>
      <c r="P152" s="160">
        <f>P167</f>
        <v>5.1999999999999998E-2</v>
      </c>
    </row>
    <row r="153" spans="1:18" ht="15.6">
      <c r="A153" t="s">
        <v>1807</v>
      </c>
      <c r="B153" s="162">
        <f t="shared" ref="B153:B156" si="9">P153</f>
        <v>1.6E-2</v>
      </c>
      <c r="C153" t="s">
        <v>609</v>
      </c>
      <c r="D153" s="109" t="s">
        <v>1754</v>
      </c>
      <c r="E153" t="s">
        <v>29</v>
      </c>
      <c r="F153" s="74" t="s">
        <v>14</v>
      </c>
      <c r="G153" t="s">
        <v>33</v>
      </c>
      <c r="H153">
        <v>1</v>
      </c>
      <c r="I153" s="156">
        <f t="shared" ref="I153:I154" si="10">B153</f>
        <v>1.6E-2</v>
      </c>
      <c r="J153" t="s">
        <v>31</v>
      </c>
      <c r="K153" t="s">
        <v>31</v>
      </c>
      <c r="L153" t="s">
        <v>31</v>
      </c>
      <c r="M153" t="s">
        <v>31</v>
      </c>
      <c r="O153" s="163" t="s">
        <v>823</v>
      </c>
      <c r="P153" s="164">
        <f>B228</f>
        <v>1.6E-2</v>
      </c>
    </row>
    <row r="154" spans="1:18" ht="15.6">
      <c r="A154" t="s">
        <v>1808</v>
      </c>
      <c r="B154" s="162">
        <f t="shared" si="9"/>
        <v>5.1999999999999998E-2</v>
      </c>
      <c r="C154" t="s">
        <v>609</v>
      </c>
      <c r="D154" s="109" t="s">
        <v>1754</v>
      </c>
      <c r="E154" t="s">
        <v>29</v>
      </c>
      <c r="F154" s="74" t="s">
        <v>14</v>
      </c>
      <c r="G154" t="s">
        <v>33</v>
      </c>
      <c r="H154">
        <v>1</v>
      </c>
      <c r="I154" s="156">
        <f t="shared" si="10"/>
        <v>5.1999999999999998E-2</v>
      </c>
      <c r="J154" t="s">
        <v>31</v>
      </c>
      <c r="K154" t="s">
        <v>31</v>
      </c>
      <c r="L154" t="s">
        <v>31</v>
      </c>
      <c r="M154" t="s">
        <v>31</v>
      </c>
      <c r="O154" s="99" t="s">
        <v>823</v>
      </c>
      <c r="P154" s="160">
        <f>P168</f>
        <v>5.1999999999999998E-2</v>
      </c>
    </row>
    <row r="155" spans="1:18" ht="15.6">
      <c r="A155" s="76" t="s">
        <v>38</v>
      </c>
      <c r="B155" s="162">
        <f t="shared" si="9"/>
        <v>1.25</v>
      </c>
      <c r="C155" t="s">
        <v>39</v>
      </c>
      <c r="D155" s="17" t="s">
        <v>221</v>
      </c>
      <c r="E155" t="s">
        <v>29</v>
      </c>
      <c r="F155" s="74" t="s">
        <v>35</v>
      </c>
      <c r="G155" t="s">
        <v>33</v>
      </c>
      <c r="H155">
        <v>2</v>
      </c>
      <c r="I155">
        <f t="shared" ref="I155:I156" si="11">LN(B155)</f>
        <v>0.22314355131420976</v>
      </c>
      <c r="J155">
        <v>9.7082439194738052E-2</v>
      </c>
      <c r="K155" t="s">
        <v>31</v>
      </c>
      <c r="L155" t="s">
        <v>31</v>
      </c>
      <c r="M155" t="s">
        <v>31</v>
      </c>
      <c r="O155" s="101" t="s">
        <v>248</v>
      </c>
      <c r="P155" s="138">
        <v>1.25</v>
      </c>
      <c r="Q155" t="s">
        <v>248</v>
      </c>
      <c r="R155" s="122">
        <f>P155</f>
        <v>1.25</v>
      </c>
    </row>
    <row r="156" spans="1:18" ht="15.6">
      <c r="A156" s="76" t="s">
        <v>202</v>
      </c>
      <c r="B156" s="162">
        <f t="shared" si="9"/>
        <v>3.3</v>
      </c>
      <c r="C156" t="s">
        <v>37</v>
      </c>
      <c r="D156" s="17" t="s">
        <v>221</v>
      </c>
      <c r="E156" t="s">
        <v>29</v>
      </c>
      <c r="F156" s="74" t="s">
        <v>35</v>
      </c>
      <c r="G156" t="s">
        <v>33</v>
      </c>
      <c r="H156">
        <v>2</v>
      </c>
      <c r="I156">
        <f t="shared" si="11"/>
        <v>1.1939224684724346</v>
      </c>
      <c r="J156">
        <v>9.7082439194738052E-2</v>
      </c>
      <c r="K156" t="s">
        <v>31</v>
      </c>
      <c r="L156" t="s">
        <v>31</v>
      </c>
      <c r="M156" t="s">
        <v>31</v>
      </c>
      <c r="O156" s="101" t="s">
        <v>241</v>
      </c>
      <c r="P156" s="138">
        <v>3.3</v>
      </c>
    </row>
    <row r="157" spans="1:18" s="70" customFormat="1" ht="15.6">
      <c r="A157" s="67" t="s">
        <v>5</v>
      </c>
      <c r="B157" s="123" t="s">
        <v>1808</v>
      </c>
      <c r="C157" s="69"/>
    </row>
    <row r="158" spans="1:18">
      <c r="A158" s="71" t="s">
        <v>7</v>
      </c>
      <c r="B158" t="s">
        <v>1654</v>
      </c>
      <c r="C158" s="72"/>
    </row>
    <row r="159" spans="1:18">
      <c r="A159" s="126" t="s">
        <v>9</v>
      </c>
      <c r="B159" t="s">
        <v>1809</v>
      </c>
      <c r="C159" s="72"/>
    </row>
    <row r="160" spans="1:18" ht="15.75" customHeight="1">
      <c r="A160" s="71" t="s">
        <v>11</v>
      </c>
      <c r="B160" s="73" t="s">
        <v>796</v>
      </c>
    </row>
    <row r="161" spans="1:18">
      <c r="A161" s="71" t="s">
        <v>13</v>
      </c>
      <c r="B161" t="s">
        <v>14</v>
      </c>
    </row>
    <row r="162" spans="1:18">
      <c r="A162" s="71" t="s">
        <v>15</v>
      </c>
      <c r="B162" s="162">
        <f>B167</f>
        <v>5.1999999999999998E-2</v>
      </c>
    </row>
    <row r="163" spans="1:18">
      <c r="A163" s="71" t="s">
        <v>16</v>
      </c>
      <c r="B163" t="s">
        <v>17</v>
      </c>
    </row>
    <row r="164" spans="1:18">
      <c r="A164" s="71" t="s">
        <v>18</v>
      </c>
      <c r="B164" t="s">
        <v>609</v>
      </c>
    </row>
    <row r="165" spans="1:18" ht="15.6">
      <c r="A165" s="75" t="s">
        <v>19</v>
      </c>
    </row>
    <row r="166" spans="1:18" ht="15.6">
      <c r="A166" s="16" t="s">
        <v>20</v>
      </c>
      <c r="B166" s="16" t="s">
        <v>21</v>
      </c>
      <c r="C166" s="16" t="s">
        <v>18</v>
      </c>
      <c r="D166" s="16" t="s">
        <v>22</v>
      </c>
      <c r="E166" s="16" t="s">
        <v>7</v>
      </c>
      <c r="F166" s="16" t="s">
        <v>13</v>
      </c>
      <c r="G166" s="16" t="s">
        <v>16</v>
      </c>
      <c r="H166" s="16" t="s">
        <v>23</v>
      </c>
      <c r="I166" s="16" t="s">
        <v>24</v>
      </c>
      <c r="J166" s="16" t="s">
        <v>25</v>
      </c>
      <c r="K166" s="16" t="s">
        <v>26</v>
      </c>
      <c r="L166" s="16" t="s">
        <v>27</v>
      </c>
      <c r="M166" s="16" t="s">
        <v>28</v>
      </c>
      <c r="N166" s="16" t="s">
        <v>11</v>
      </c>
    </row>
    <row r="167" spans="1:18" ht="15.6">
      <c r="A167" t="s">
        <v>1808</v>
      </c>
      <c r="B167" s="115">
        <f>P167</f>
        <v>5.1999999999999998E-2</v>
      </c>
      <c r="C167" t="s">
        <v>609</v>
      </c>
      <c r="D167" s="109" t="s">
        <v>1754</v>
      </c>
      <c r="E167" t="s">
        <v>29</v>
      </c>
      <c r="F167" s="74" t="s">
        <v>14</v>
      </c>
      <c r="G167" t="s">
        <v>30</v>
      </c>
      <c r="H167">
        <v>1</v>
      </c>
      <c r="I167" s="115">
        <f>B167</f>
        <v>5.1999999999999998E-2</v>
      </c>
      <c r="J167" t="s">
        <v>31</v>
      </c>
      <c r="K167" t="s">
        <v>31</v>
      </c>
      <c r="L167" t="s">
        <v>31</v>
      </c>
      <c r="M167" t="s">
        <v>31</v>
      </c>
      <c r="P167" s="165">
        <f>P185</f>
        <v>5.1999999999999998E-2</v>
      </c>
    </row>
    <row r="168" spans="1:18" ht="15.6">
      <c r="A168" s="59" t="s">
        <v>1810</v>
      </c>
      <c r="B168" s="115">
        <f>P168</f>
        <v>5.1999999999999998E-2</v>
      </c>
      <c r="C168" t="s">
        <v>609</v>
      </c>
      <c r="D168" s="109" t="s">
        <v>1754</v>
      </c>
      <c r="E168" t="s">
        <v>29</v>
      </c>
      <c r="F168" s="74" t="s">
        <v>14</v>
      </c>
      <c r="G168" t="s">
        <v>33</v>
      </c>
      <c r="H168">
        <v>1</v>
      </c>
      <c r="I168" s="115">
        <f>B168</f>
        <v>5.1999999999999998E-2</v>
      </c>
      <c r="J168" t="s">
        <v>31</v>
      </c>
      <c r="K168" t="s">
        <v>31</v>
      </c>
      <c r="L168" t="s">
        <v>31</v>
      </c>
      <c r="M168" t="s">
        <v>31</v>
      </c>
      <c r="P168" s="165">
        <f>P185</f>
        <v>5.1999999999999998E-2</v>
      </c>
    </row>
    <row r="169" spans="1:18" ht="15.6">
      <c r="A169" s="76" t="s">
        <v>38</v>
      </c>
      <c r="B169" s="122">
        <f>R169</f>
        <v>0.14000000000000001</v>
      </c>
      <c r="C169" t="s">
        <v>39</v>
      </c>
      <c r="D169" s="17" t="s">
        <v>221</v>
      </c>
      <c r="E169" t="s">
        <v>29</v>
      </c>
      <c r="F169" s="74" t="s">
        <v>35</v>
      </c>
      <c r="G169" t="s">
        <v>33</v>
      </c>
      <c r="H169">
        <v>2</v>
      </c>
      <c r="I169">
        <f t="shared" ref="I169:I173" si="12">LN(B169)</f>
        <v>-1.9661128563728327</v>
      </c>
      <c r="J169">
        <v>0.20928449536456342</v>
      </c>
      <c r="K169" t="s">
        <v>31</v>
      </c>
      <c r="L169" t="s">
        <v>31</v>
      </c>
      <c r="M169" t="s">
        <v>31</v>
      </c>
      <c r="O169" s="78" t="s">
        <v>248</v>
      </c>
      <c r="P169" s="114">
        <v>0.14000000000000001</v>
      </c>
      <c r="Q169" t="s">
        <v>248</v>
      </c>
      <c r="R169" s="122">
        <f>P169</f>
        <v>0.14000000000000001</v>
      </c>
    </row>
    <row r="170" spans="1:18" ht="15.6">
      <c r="A170" s="88" t="s">
        <v>798</v>
      </c>
      <c r="B170">
        <f>R170</f>
        <v>4.4000000000000003E-3</v>
      </c>
      <c r="C170" t="s">
        <v>37</v>
      </c>
      <c r="D170" s="17" t="s">
        <v>221</v>
      </c>
      <c r="E170" t="s">
        <v>29</v>
      </c>
      <c r="F170" s="74" t="s">
        <v>35</v>
      </c>
      <c r="G170" t="s">
        <v>33</v>
      </c>
      <c r="H170">
        <v>2</v>
      </c>
      <c r="I170">
        <f t="shared" si="12"/>
        <v>-5.4261507380579213</v>
      </c>
      <c r="J170">
        <v>0.20928449536456342</v>
      </c>
      <c r="K170" t="s">
        <v>31</v>
      </c>
      <c r="L170" t="s">
        <v>31</v>
      </c>
      <c r="M170" t="s">
        <v>31</v>
      </c>
      <c r="O170" s="101" t="s">
        <v>580</v>
      </c>
      <c r="P170" s="114">
        <v>4.4000000000000004</v>
      </c>
      <c r="Q170" t="s">
        <v>241</v>
      </c>
      <c r="R170">
        <f>0.001*P170</f>
        <v>4.4000000000000003E-3</v>
      </c>
    </row>
    <row r="171" spans="1:18" ht="15.6">
      <c r="A171" s="88" t="s">
        <v>308</v>
      </c>
      <c r="B171">
        <f>R171</f>
        <v>6.9999999999999999E-4</v>
      </c>
      <c r="C171" t="s">
        <v>37</v>
      </c>
      <c r="D171" s="17" t="s">
        <v>221</v>
      </c>
      <c r="E171" t="s">
        <v>29</v>
      </c>
      <c r="F171" s="74" t="s">
        <v>59</v>
      </c>
      <c r="G171" t="s">
        <v>33</v>
      </c>
      <c r="H171">
        <v>2</v>
      </c>
      <c r="I171">
        <f t="shared" si="12"/>
        <v>-7.2644302229208693</v>
      </c>
      <c r="J171">
        <v>0.20928449536456342</v>
      </c>
      <c r="K171" t="s">
        <v>31</v>
      </c>
      <c r="L171" t="s">
        <v>31</v>
      </c>
      <c r="M171" t="s">
        <v>31</v>
      </c>
      <c r="O171" s="101" t="s">
        <v>580</v>
      </c>
      <c r="P171" s="114">
        <v>0.7</v>
      </c>
      <c r="Q171" t="s">
        <v>241</v>
      </c>
      <c r="R171">
        <f t="shared" ref="R171:R173" si="13">0.001*P171</f>
        <v>6.9999999999999999E-4</v>
      </c>
    </row>
    <row r="172" spans="1:18" ht="15.6">
      <c r="A172" s="76" t="s">
        <v>799</v>
      </c>
      <c r="B172">
        <f>R172</f>
        <v>2.1700000000000001E-2</v>
      </c>
      <c r="C172" t="s">
        <v>37</v>
      </c>
      <c r="D172" s="17" t="s">
        <v>221</v>
      </c>
      <c r="E172" t="s">
        <v>29</v>
      </c>
      <c r="F172" s="74" t="s">
        <v>74</v>
      </c>
      <c r="G172" t="s">
        <v>33</v>
      </c>
      <c r="H172">
        <v>2</v>
      </c>
      <c r="I172">
        <f t="shared" si="12"/>
        <v>-3.830443018435723</v>
      </c>
      <c r="J172">
        <v>0.20928449536456342</v>
      </c>
      <c r="K172" t="s">
        <v>31</v>
      </c>
      <c r="L172" t="s">
        <v>31</v>
      </c>
      <c r="M172" t="s">
        <v>31</v>
      </c>
      <c r="O172" s="101" t="s">
        <v>580</v>
      </c>
      <c r="P172" s="114">
        <v>21.7</v>
      </c>
      <c r="Q172" t="s">
        <v>241</v>
      </c>
      <c r="R172">
        <f t="shared" si="13"/>
        <v>2.1700000000000001E-2</v>
      </c>
    </row>
    <row r="173" spans="1:18" ht="15.6">
      <c r="A173" s="17" t="s">
        <v>1657</v>
      </c>
      <c r="B173">
        <f>R173</f>
        <v>5.0999999999999995E-3</v>
      </c>
      <c r="C173" t="s">
        <v>37</v>
      </c>
      <c r="D173" s="109" t="s">
        <v>1754</v>
      </c>
      <c r="E173" t="s">
        <v>29</v>
      </c>
      <c r="F173" s="74" t="s">
        <v>74</v>
      </c>
      <c r="G173" t="s">
        <v>33</v>
      </c>
      <c r="H173">
        <v>2</v>
      </c>
      <c r="I173">
        <f t="shared" si="12"/>
        <v>-5.2785147392518574</v>
      </c>
      <c r="J173">
        <v>0.20928449536456342</v>
      </c>
      <c r="K173" t="s">
        <v>31</v>
      </c>
      <c r="L173" t="s">
        <v>31</v>
      </c>
      <c r="M173" t="s">
        <v>31</v>
      </c>
      <c r="O173" s="166" t="s">
        <v>580</v>
      </c>
      <c r="P173" s="119">
        <v>5.0999999999999996</v>
      </c>
      <c r="Q173" t="s">
        <v>241</v>
      </c>
      <c r="R173">
        <f t="shared" si="13"/>
        <v>5.0999999999999995E-3</v>
      </c>
    </row>
    <row r="174" spans="1:18" s="70" customFormat="1" ht="15.6">
      <c r="A174" s="67" t="s">
        <v>5</v>
      </c>
      <c r="B174" s="123" t="s">
        <v>1810</v>
      </c>
      <c r="C174" s="69"/>
    </row>
    <row r="175" spans="1:18">
      <c r="A175" s="71" t="s">
        <v>7</v>
      </c>
      <c r="B175" t="s">
        <v>1654</v>
      </c>
      <c r="C175" s="72"/>
    </row>
    <row r="176" spans="1:18">
      <c r="A176" s="126" t="s">
        <v>9</v>
      </c>
      <c r="B176" t="s">
        <v>1811</v>
      </c>
      <c r="C176" s="72"/>
    </row>
    <row r="177" spans="1:18" ht="15.75" customHeight="1">
      <c r="A177" s="71" t="s">
        <v>11</v>
      </c>
      <c r="B177" s="73" t="s">
        <v>796</v>
      </c>
    </row>
    <row r="178" spans="1:18">
      <c r="A178" s="71" t="s">
        <v>13</v>
      </c>
      <c r="B178" t="s">
        <v>14</v>
      </c>
    </row>
    <row r="179" spans="1:18">
      <c r="A179" s="71" t="s">
        <v>15</v>
      </c>
      <c r="B179" s="127">
        <f>B184</f>
        <v>5.1999999999999998E-2</v>
      </c>
    </row>
    <row r="180" spans="1:18">
      <c r="A180" s="71" t="s">
        <v>16</v>
      </c>
      <c r="B180" t="s">
        <v>17</v>
      </c>
    </row>
    <row r="181" spans="1:18">
      <c r="A181" s="71" t="s">
        <v>18</v>
      </c>
      <c r="B181" t="s">
        <v>609</v>
      </c>
    </row>
    <row r="182" spans="1:18" ht="15.6">
      <c r="A182" s="75" t="s">
        <v>19</v>
      </c>
    </row>
    <row r="183" spans="1:18" ht="15.6">
      <c r="A183" s="16" t="s">
        <v>20</v>
      </c>
      <c r="B183" s="16" t="s">
        <v>21</v>
      </c>
      <c r="C183" s="16" t="s">
        <v>18</v>
      </c>
      <c r="D183" s="16" t="s">
        <v>22</v>
      </c>
      <c r="E183" s="16" t="s">
        <v>7</v>
      </c>
      <c r="F183" s="16" t="s">
        <v>13</v>
      </c>
      <c r="G183" s="16" t="s">
        <v>16</v>
      </c>
      <c r="H183" s="16" t="s">
        <v>23</v>
      </c>
      <c r="I183" s="16" t="s">
        <v>24</v>
      </c>
      <c r="J183" s="16" t="s">
        <v>25</v>
      </c>
      <c r="K183" s="16" t="s">
        <v>26</v>
      </c>
      <c r="L183" s="16" t="s">
        <v>27</v>
      </c>
      <c r="M183" s="16" t="s">
        <v>28</v>
      </c>
      <c r="N183" s="16" t="s">
        <v>11</v>
      </c>
    </row>
    <row r="184" spans="1:18" ht="15.6">
      <c r="A184" s="59" t="s">
        <v>1810</v>
      </c>
      <c r="B184" s="167">
        <f>P185</f>
        <v>5.1999999999999998E-2</v>
      </c>
      <c r="C184" t="s">
        <v>609</v>
      </c>
      <c r="D184" s="109" t="s">
        <v>1754</v>
      </c>
      <c r="E184" t="s">
        <v>29</v>
      </c>
      <c r="F184" s="74" t="s">
        <v>14</v>
      </c>
      <c r="G184" t="s">
        <v>30</v>
      </c>
      <c r="H184">
        <v>1</v>
      </c>
      <c r="I184" s="115">
        <f>B184</f>
        <v>5.1999999999999998E-2</v>
      </c>
      <c r="J184" t="s">
        <v>31</v>
      </c>
      <c r="K184" t="s">
        <v>31</v>
      </c>
      <c r="L184" t="s">
        <v>31</v>
      </c>
      <c r="M184" t="s">
        <v>31</v>
      </c>
    </row>
    <row r="185" spans="1:18" ht="15.6">
      <c r="A185" t="s">
        <v>1812</v>
      </c>
      <c r="B185" s="167">
        <f>P185</f>
        <v>5.1999999999999998E-2</v>
      </c>
      <c r="C185" t="s">
        <v>609</v>
      </c>
      <c r="D185" s="109" t="s">
        <v>1754</v>
      </c>
      <c r="E185" t="s">
        <v>29</v>
      </c>
      <c r="F185" s="74" t="s">
        <v>14</v>
      </c>
      <c r="G185" t="s">
        <v>33</v>
      </c>
      <c r="H185">
        <v>1</v>
      </c>
      <c r="I185" s="115">
        <f>B185</f>
        <v>5.1999999999999998E-2</v>
      </c>
      <c r="J185" t="s">
        <v>31</v>
      </c>
      <c r="K185" t="s">
        <v>31</v>
      </c>
      <c r="L185" t="s">
        <v>31</v>
      </c>
      <c r="M185" t="s">
        <v>31</v>
      </c>
      <c r="P185" s="160">
        <v>5.1999999999999998E-2</v>
      </c>
    </row>
    <row r="186" spans="1:18" ht="15.6">
      <c r="A186" s="76" t="s">
        <v>38</v>
      </c>
      <c r="B186" s="122">
        <f>P186</f>
        <v>3.05</v>
      </c>
      <c r="C186" t="s">
        <v>39</v>
      </c>
      <c r="D186" s="17" t="s">
        <v>221</v>
      </c>
      <c r="E186" t="s">
        <v>29</v>
      </c>
      <c r="F186" s="74" t="s">
        <v>35</v>
      </c>
      <c r="G186" t="s">
        <v>33</v>
      </c>
      <c r="H186">
        <v>2</v>
      </c>
      <c r="I186">
        <f t="shared" ref="I186:I187" si="14">LN(B186)</f>
        <v>1.1151415906193203</v>
      </c>
      <c r="J186">
        <v>0.20928449536456342</v>
      </c>
      <c r="K186" t="s">
        <v>31</v>
      </c>
      <c r="L186" t="s">
        <v>31</v>
      </c>
      <c r="M186" t="s">
        <v>31</v>
      </c>
      <c r="O186" s="101" t="s">
        <v>248</v>
      </c>
      <c r="P186" s="138">
        <f>2.1+0.95</f>
        <v>3.05</v>
      </c>
    </row>
    <row r="187" spans="1:18" ht="15.6">
      <c r="A187" s="76" t="s">
        <v>799</v>
      </c>
      <c r="B187">
        <f>R187</f>
        <v>6.0999999999999995E-3</v>
      </c>
      <c r="C187" t="s">
        <v>37</v>
      </c>
      <c r="D187" s="17" t="s">
        <v>221</v>
      </c>
      <c r="E187" t="s">
        <v>29</v>
      </c>
      <c r="F187" s="74" t="s">
        <v>74</v>
      </c>
      <c r="G187" t="s">
        <v>33</v>
      </c>
      <c r="H187">
        <v>2</v>
      </c>
      <c r="I187">
        <f t="shared" si="14"/>
        <v>-5.0994665078028714</v>
      </c>
      <c r="J187">
        <v>0.20928449536456342</v>
      </c>
      <c r="K187" t="s">
        <v>31</v>
      </c>
      <c r="L187" t="s">
        <v>31</v>
      </c>
      <c r="M187" t="s">
        <v>31</v>
      </c>
      <c r="O187" s="101" t="s">
        <v>580</v>
      </c>
      <c r="P187" s="138">
        <v>6.1</v>
      </c>
      <c r="Q187" t="s">
        <v>241</v>
      </c>
      <c r="R187">
        <f>P187*0.001</f>
        <v>6.0999999999999995E-3</v>
      </c>
    </row>
    <row r="188" spans="1:18">
      <c r="A188" s="88" t="s">
        <v>545</v>
      </c>
      <c r="B188">
        <f>R188</f>
        <v>7.4999999999999997E-3</v>
      </c>
      <c r="C188" t="s">
        <v>37</v>
      </c>
      <c r="D188" t="s">
        <v>221</v>
      </c>
      <c r="E188" t="s">
        <v>29</v>
      </c>
      <c r="F188" t="s">
        <v>35</v>
      </c>
      <c r="G188" t="s">
        <v>33</v>
      </c>
      <c r="H188">
        <v>2</v>
      </c>
      <c r="I188">
        <f>LN(B188)</f>
        <v>-4.8928522584398726</v>
      </c>
      <c r="J188">
        <v>0.20928449536456342</v>
      </c>
      <c r="K188" t="s">
        <v>31</v>
      </c>
      <c r="L188" t="s">
        <v>31</v>
      </c>
      <c r="M188" t="s">
        <v>31</v>
      </c>
      <c r="O188" s="101" t="s">
        <v>580</v>
      </c>
      <c r="P188" s="138">
        <v>7.5</v>
      </c>
      <c r="Q188" t="s">
        <v>241</v>
      </c>
      <c r="R188">
        <f>P188*0.001</f>
        <v>7.4999999999999997E-3</v>
      </c>
    </row>
    <row r="189" spans="1:18" ht="15.6">
      <c r="A189" s="17" t="s">
        <v>1657</v>
      </c>
      <c r="B189">
        <f>R189</f>
        <v>7.4999999999999997E-3</v>
      </c>
      <c r="C189" t="s">
        <v>37</v>
      </c>
      <c r="D189" s="109" t="s">
        <v>1754</v>
      </c>
      <c r="E189" t="s">
        <v>29</v>
      </c>
      <c r="F189" s="74" t="s">
        <v>74</v>
      </c>
      <c r="G189" t="s">
        <v>33</v>
      </c>
      <c r="H189">
        <v>2</v>
      </c>
      <c r="I189">
        <f t="shared" ref="I189" si="15">LN(B189)</f>
        <v>-4.8928522584398726</v>
      </c>
      <c r="J189">
        <v>0.20928449536456342</v>
      </c>
      <c r="K189" t="s">
        <v>31</v>
      </c>
      <c r="L189" t="s">
        <v>31</v>
      </c>
      <c r="M189" t="s">
        <v>31</v>
      </c>
      <c r="O189" s="166" t="s">
        <v>580</v>
      </c>
      <c r="P189" s="142">
        <v>7.5</v>
      </c>
      <c r="Q189" t="s">
        <v>241</v>
      </c>
      <c r="R189">
        <f t="shared" ref="R189" si="16">0.001*P189</f>
        <v>7.4999999999999997E-3</v>
      </c>
    </row>
    <row r="190" spans="1:18" s="70" customFormat="1" ht="15.6">
      <c r="A190" s="67" t="s">
        <v>5</v>
      </c>
      <c r="B190" s="123" t="s">
        <v>1812</v>
      </c>
      <c r="C190" s="69"/>
    </row>
    <row r="191" spans="1:18">
      <c r="A191" s="71" t="s">
        <v>7</v>
      </c>
      <c r="B191" t="s">
        <v>1654</v>
      </c>
      <c r="C191" s="72"/>
    </row>
    <row r="192" spans="1:18">
      <c r="A192" s="126" t="s">
        <v>9</v>
      </c>
      <c r="B192" t="s">
        <v>1813</v>
      </c>
      <c r="C192" s="72"/>
    </row>
    <row r="193" spans="1:21" ht="15.75" customHeight="1">
      <c r="A193" s="71" t="s">
        <v>11</v>
      </c>
      <c r="B193" s="73" t="s">
        <v>796</v>
      </c>
    </row>
    <row r="194" spans="1:21">
      <c r="A194" s="71" t="s">
        <v>13</v>
      </c>
      <c r="B194" t="s">
        <v>14</v>
      </c>
      <c r="R194" s="131" t="s">
        <v>885</v>
      </c>
    </row>
    <row r="195" spans="1:21">
      <c r="A195" s="71" t="s">
        <v>15</v>
      </c>
      <c r="B195" s="127">
        <f>B200</f>
        <v>0.65</v>
      </c>
      <c r="R195" t="s">
        <v>886</v>
      </c>
      <c r="S195">
        <v>8900</v>
      </c>
      <c r="T195" t="s">
        <v>887</v>
      </c>
    </row>
    <row r="196" spans="1:21">
      <c r="A196" s="71" t="s">
        <v>16</v>
      </c>
      <c r="B196" t="s">
        <v>17</v>
      </c>
      <c r="R196" t="s">
        <v>888</v>
      </c>
      <c r="S196">
        <f>5*10^-6</f>
        <v>4.9999999999999996E-6</v>
      </c>
      <c r="T196" t="s">
        <v>889</v>
      </c>
    </row>
    <row r="197" spans="1:21">
      <c r="A197" s="71" t="s">
        <v>18</v>
      </c>
      <c r="B197" t="s">
        <v>609</v>
      </c>
      <c r="R197" s="134" t="s">
        <v>890</v>
      </c>
      <c r="S197" s="135">
        <f>S196*S195</f>
        <v>4.4499999999999998E-2</v>
      </c>
      <c r="T197" s="136" t="s">
        <v>891</v>
      </c>
    </row>
    <row r="198" spans="1:21" ht="15.6">
      <c r="A198" s="75" t="s">
        <v>19</v>
      </c>
    </row>
    <row r="199" spans="1:21" ht="15.6">
      <c r="A199" s="16" t="s">
        <v>20</v>
      </c>
      <c r="B199" s="16" t="s">
        <v>21</v>
      </c>
      <c r="C199" s="16" t="s">
        <v>18</v>
      </c>
      <c r="D199" s="16" t="s">
        <v>22</v>
      </c>
      <c r="E199" s="16" t="s">
        <v>7</v>
      </c>
      <c r="F199" s="16" t="s">
        <v>13</v>
      </c>
      <c r="G199" s="16" t="s">
        <v>16</v>
      </c>
      <c r="H199" s="16" t="s">
        <v>23</v>
      </c>
      <c r="I199" s="16" t="s">
        <v>24</v>
      </c>
      <c r="J199" s="16" t="s">
        <v>25</v>
      </c>
      <c r="K199" s="16" t="s">
        <v>26</v>
      </c>
      <c r="L199" s="16" t="s">
        <v>27</v>
      </c>
      <c r="M199" s="16" t="s">
        <v>28</v>
      </c>
      <c r="N199" s="16" t="s">
        <v>11</v>
      </c>
      <c r="R199" t="s">
        <v>554</v>
      </c>
      <c r="U199" s="111"/>
    </row>
    <row r="200" spans="1:21" ht="15.6">
      <c r="A200" t="s">
        <v>1812</v>
      </c>
      <c r="B200" s="158">
        <v>0.65</v>
      </c>
      <c r="C200" t="s">
        <v>609</v>
      </c>
      <c r="D200" s="109" t="s">
        <v>1754</v>
      </c>
      <c r="E200" t="s">
        <v>29</v>
      </c>
      <c r="F200" t="s">
        <v>14</v>
      </c>
      <c r="G200" t="s">
        <v>30</v>
      </c>
      <c r="H200">
        <v>1</v>
      </c>
      <c r="I200">
        <f>B200</f>
        <v>0.65</v>
      </c>
      <c r="J200" t="s">
        <v>31</v>
      </c>
      <c r="K200" t="s">
        <v>31</v>
      </c>
      <c r="L200" t="s">
        <v>31</v>
      </c>
      <c r="M200" t="s">
        <v>31</v>
      </c>
      <c r="O200" s="169" t="s">
        <v>892</v>
      </c>
      <c r="P200" s="133">
        <f>B200*100</f>
        <v>65</v>
      </c>
      <c r="R200" s="139">
        <v>0.69</v>
      </c>
      <c r="S200" s="140" t="s">
        <v>610</v>
      </c>
      <c r="T200" s="139">
        <f>R200*S197</f>
        <v>3.0704999999999996E-2</v>
      </c>
      <c r="U200" s="140" t="s">
        <v>241</v>
      </c>
    </row>
    <row r="201" spans="1:21" ht="15.6">
      <c r="A201" t="s">
        <v>1814</v>
      </c>
      <c r="B201" s="158">
        <v>0.65</v>
      </c>
      <c r="C201" t="s">
        <v>609</v>
      </c>
      <c r="D201" s="109" t="s">
        <v>1754</v>
      </c>
      <c r="E201" t="s">
        <v>29</v>
      </c>
      <c r="F201" t="s">
        <v>14</v>
      </c>
      <c r="G201" t="s">
        <v>33</v>
      </c>
      <c r="H201">
        <v>1</v>
      </c>
      <c r="I201">
        <f t="shared" ref="I201:I202" si="17">B201</f>
        <v>0.65</v>
      </c>
      <c r="J201">
        <v>7.2284161474004766E-2</v>
      </c>
      <c r="K201" t="s">
        <v>31</v>
      </c>
      <c r="L201" t="s">
        <v>31</v>
      </c>
      <c r="M201" t="s">
        <v>31</v>
      </c>
      <c r="O201" s="101" t="s">
        <v>892</v>
      </c>
      <c r="P201" s="114">
        <f>B201*100</f>
        <v>65</v>
      </c>
    </row>
    <row r="202" spans="1:21" ht="15.6">
      <c r="A202" s="59" t="s">
        <v>1768</v>
      </c>
      <c r="B202" s="124">
        <f>T200</f>
        <v>3.0704999999999996E-2</v>
      </c>
      <c r="C202" t="s">
        <v>37</v>
      </c>
      <c r="D202" s="109" t="s">
        <v>1754</v>
      </c>
      <c r="E202" t="s">
        <v>29</v>
      </c>
      <c r="F202" s="74" t="s">
        <v>14</v>
      </c>
      <c r="G202" t="s">
        <v>33</v>
      </c>
      <c r="H202">
        <v>1</v>
      </c>
      <c r="I202">
        <f t="shared" si="17"/>
        <v>3.0704999999999996E-2</v>
      </c>
      <c r="J202">
        <v>7.2284161474004766E-2</v>
      </c>
      <c r="K202" t="s">
        <v>31</v>
      </c>
      <c r="L202" t="s">
        <v>31</v>
      </c>
      <c r="M202" t="s">
        <v>31</v>
      </c>
      <c r="O202" s="59"/>
      <c r="P202" s="120"/>
    </row>
    <row r="203" spans="1:21" ht="15.6">
      <c r="A203" s="76" t="s">
        <v>799</v>
      </c>
      <c r="B203">
        <f>P203</f>
        <v>5.5</v>
      </c>
      <c r="C203" t="s">
        <v>37</v>
      </c>
      <c r="D203" s="17" t="s">
        <v>221</v>
      </c>
      <c r="E203" t="s">
        <v>29</v>
      </c>
      <c r="F203" s="74" t="s">
        <v>74</v>
      </c>
      <c r="G203" t="s">
        <v>33</v>
      </c>
      <c r="H203">
        <v>2</v>
      </c>
      <c r="I203">
        <f t="shared" ref="I203" si="18">LN(B203)</f>
        <v>1.7047480922384253</v>
      </c>
      <c r="J203">
        <v>7.2284161474004766E-2</v>
      </c>
      <c r="K203" t="s">
        <v>31</v>
      </c>
      <c r="L203" t="s">
        <v>31</v>
      </c>
      <c r="M203" t="s">
        <v>31</v>
      </c>
      <c r="O203" s="101" t="s">
        <v>241</v>
      </c>
      <c r="P203" s="114">
        <v>5.5</v>
      </c>
    </row>
    <row r="204" spans="1:21" ht="15.6">
      <c r="A204" s="88" t="s">
        <v>874</v>
      </c>
      <c r="B204" s="170">
        <f>R204</f>
        <v>2.9999999999999999E-7</v>
      </c>
      <c r="C204" t="s">
        <v>37</v>
      </c>
      <c r="D204" s="17" t="s">
        <v>221</v>
      </c>
      <c r="E204" t="s">
        <v>29</v>
      </c>
      <c r="F204" s="74" t="s">
        <v>59</v>
      </c>
      <c r="G204" t="s">
        <v>33</v>
      </c>
      <c r="H204">
        <v>2</v>
      </c>
      <c r="I204">
        <f>LN(B204)</f>
        <v>-15.01948336229021</v>
      </c>
      <c r="J204">
        <v>7.2284161474004766E-2</v>
      </c>
      <c r="K204" t="s">
        <v>31</v>
      </c>
      <c r="L204" t="s">
        <v>31</v>
      </c>
      <c r="M204" t="s">
        <v>31</v>
      </c>
      <c r="O204" s="116" t="s">
        <v>538</v>
      </c>
      <c r="P204" s="150">
        <v>0.3</v>
      </c>
      <c r="Q204" t="s">
        <v>241</v>
      </c>
      <c r="R204">
        <f>0.000001*P204</f>
        <v>2.9999999999999999E-7</v>
      </c>
    </row>
    <row r="205" spans="1:21" ht="15.6">
      <c r="A205" s="88" t="s">
        <v>76</v>
      </c>
      <c r="B205" s="170">
        <f>R205</f>
        <v>5.4999999999999997E-3</v>
      </c>
      <c r="C205" t="s">
        <v>42</v>
      </c>
      <c r="D205" s="17" t="s">
        <v>221</v>
      </c>
      <c r="E205" t="s">
        <v>29</v>
      </c>
      <c r="F205" s="74" t="s">
        <v>74</v>
      </c>
      <c r="G205" t="s">
        <v>33</v>
      </c>
      <c r="H205">
        <v>2</v>
      </c>
      <c r="I205">
        <f t="shared" ref="I205" si="19">LN(B205)</f>
        <v>-5.2030071867437115</v>
      </c>
      <c r="J205">
        <v>7.2284161474004766E-2</v>
      </c>
      <c r="K205" t="s">
        <v>31</v>
      </c>
      <c r="L205" t="s">
        <v>31</v>
      </c>
      <c r="M205" t="s">
        <v>31</v>
      </c>
      <c r="O205" s="118" t="s">
        <v>863</v>
      </c>
      <c r="P205" s="119">
        <v>5.5</v>
      </c>
      <c r="Q205" t="s">
        <v>251</v>
      </c>
      <c r="R205">
        <f>0.001*P205</f>
        <v>5.4999999999999997E-3</v>
      </c>
    </row>
    <row r="206" spans="1:21" s="70" customFormat="1" ht="15.6">
      <c r="A206" s="67" t="s">
        <v>5</v>
      </c>
      <c r="B206" s="123" t="s">
        <v>1814</v>
      </c>
      <c r="C206" s="69"/>
    </row>
    <row r="207" spans="1:21">
      <c r="A207" s="71" t="s">
        <v>7</v>
      </c>
      <c r="B207" t="s">
        <v>1654</v>
      </c>
      <c r="C207" s="72"/>
    </row>
    <row r="208" spans="1:21">
      <c r="A208" s="126" t="s">
        <v>9</v>
      </c>
      <c r="B208" t="s">
        <v>1815</v>
      </c>
      <c r="C208" s="72"/>
    </row>
    <row r="209" spans="1:19" ht="15.75" customHeight="1">
      <c r="A209" s="71" t="s">
        <v>11</v>
      </c>
      <c r="B209" s="73" t="s">
        <v>796</v>
      </c>
    </row>
    <row r="210" spans="1:19">
      <c r="A210" s="71" t="s">
        <v>13</v>
      </c>
      <c r="B210" t="s">
        <v>14</v>
      </c>
    </row>
    <row r="211" spans="1:19">
      <c r="A211" s="71" t="s">
        <v>15</v>
      </c>
      <c r="B211" s="127">
        <f>B216</f>
        <v>0.65</v>
      </c>
    </row>
    <row r="212" spans="1:19">
      <c r="A212" s="71" t="s">
        <v>16</v>
      </c>
      <c r="B212" t="s">
        <v>17</v>
      </c>
    </row>
    <row r="213" spans="1:19">
      <c r="A213" s="71" t="s">
        <v>18</v>
      </c>
      <c r="B213" t="s">
        <v>609</v>
      </c>
      <c r="S213" s="115"/>
    </row>
    <row r="214" spans="1:19" ht="15.6">
      <c r="A214" s="75" t="s">
        <v>19</v>
      </c>
    </row>
    <row r="215" spans="1:19" ht="15.6">
      <c r="A215" s="16" t="s">
        <v>20</v>
      </c>
      <c r="B215" s="16" t="s">
        <v>21</v>
      </c>
      <c r="C215" s="16" t="s">
        <v>18</v>
      </c>
      <c r="D215" s="16" t="s">
        <v>22</v>
      </c>
      <c r="E215" s="16" t="s">
        <v>7</v>
      </c>
      <c r="F215" s="16" t="s">
        <v>13</v>
      </c>
      <c r="G215" s="16" t="s">
        <v>16</v>
      </c>
      <c r="H215" s="16" t="s">
        <v>23</v>
      </c>
      <c r="I215" s="16" t="s">
        <v>24</v>
      </c>
      <c r="J215" s="16" t="s">
        <v>25</v>
      </c>
      <c r="K215" s="16" t="s">
        <v>26</v>
      </c>
      <c r="L215" s="16" t="s">
        <v>27</v>
      </c>
      <c r="M215" s="16" t="s">
        <v>28</v>
      </c>
      <c r="N215" s="16" t="s">
        <v>11</v>
      </c>
    </row>
    <row r="216" spans="1:19" ht="15.6">
      <c r="A216" t="s">
        <v>1814</v>
      </c>
      <c r="B216" s="115">
        <f>P216</f>
        <v>0.65</v>
      </c>
      <c r="C216" t="s">
        <v>609</v>
      </c>
      <c r="D216" s="109" t="s">
        <v>1754</v>
      </c>
      <c r="E216" t="s">
        <v>29</v>
      </c>
      <c r="F216" t="s">
        <v>14</v>
      </c>
      <c r="G216" t="s">
        <v>30</v>
      </c>
      <c r="H216">
        <v>1</v>
      </c>
      <c r="I216" s="115">
        <f>B216</f>
        <v>0.65</v>
      </c>
      <c r="J216" t="s">
        <v>31</v>
      </c>
      <c r="K216" t="s">
        <v>31</v>
      </c>
      <c r="L216" t="s">
        <v>31</v>
      </c>
      <c r="M216" t="s">
        <v>31</v>
      </c>
      <c r="O216" s="101" t="s">
        <v>610</v>
      </c>
      <c r="P216" s="158">
        <v>0.65</v>
      </c>
    </row>
    <row r="217" spans="1:19" ht="15.6">
      <c r="A217" t="s">
        <v>1772</v>
      </c>
      <c r="B217" s="115">
        <f>B.Reused!B81</f>
        <v>3.54</v>
      </c>
      <c r="C217" t="s">
        <v>37</v>
      </c>
      <c r="D217" s="109" t="s">
        <v>1754</v>
      </c>
      <c r="E217" t="s">
        <v>29</v>
      </c>
      <c r="F217" t="s">
        <v>14</v>
      </c>
      <c r="G217" t="s">
        <v>33</v>
      </c>
      <c r="H217">
        <v>1</v>
      </c>
      <c r="I217" s="115">
        <f>B217</f>
        <v>3.54</v>
      </c>
      <c r="J217" t="s">
        <v>31</v>
      </c>
      <c r="K217" t="s">
        <v>31</v>
      </c>
      <c r="L217" t="s">
        <v>31</v>
      </c>
      <c r="M217" t="s">
        <v>31</v>
      </c>
      <c r="O217" s="128"/>
      <c r="P217" s="158">
        <v>0.65</v>
      </c>
      <c r="Q217" t="s">
        <v>1816</v>
      </c>
    </row>
    <row r="218" spans="1:19" ht="15.6">
      <c r="A218" s="76" t="s">
        <v>38</v>
      </c>
      <c r="B218" s="122">
        <f>P218</f>
        <v>0.31</v>
      </c>
      <c r="C218" t="s">
        <v>39</v>
      </c>
      <c r="D218" s="17" t="s">
        <v>221</v>
      </c>
      <c r="E218" t="s">
        <v>29</v>
      </c>
      <c r="F218" s="74" t="s">
        <v>35</v>
      </c>
      <c r="G218" t="s">
        <v>33</v>
      </c>
      <c r="H218">
        <v>2</v>
      </c>
      <c r="I218">
        <f t="shared" ref="I218:I219" si="20">LN(B218)</f>
        <v>-1.1711829815029451</v>
      </c>
      <c r="J218">
        <v>7.2284161474004766E-2</v>
      </c>
      <c r="K218" t="s">
        <v>31</v>
      </c>
      <c r="L218" t="s">
        <v>31</v>
      </c>
      <c r="M218" t="s">
        <v>31</v>
      </c>
      <c r="O218" s="101" t="s">
        <v>248</v>
      </c>
      <c r="P218" s="114">
        <v>0.31</v>
      </c>
    </row>
    <row r="219" spans="1:19" ht="15.6">
      <c r="A219" s="88" t="s">
        <v>310</v>
      </c>
      <c r="B219">
        <f>R219</f>
        <v>7.0000000000000001E-3</v>
      </c>
      <c r="C219" s="115" t="s">
        <v>37</v>
      </c>
      <c r="D219" s="17" t="s">
        <v>221</v>
      </c>
      <c r="E219" t="s">
        <v>29</v>
      </c>
      <c r="F219" t="s">
        <v>59</v>
      </c>
      <c r="G219" t="s">
        <v>33</v>
      </c>
      <c r="H219">
        <v>2</v>
      </c>
      <c r="I219">
        <f t="shared" si="20"/>
        <v>-4.9618451299268234</v>
      </c>
      <c r="J219">
        <v>7.2284161474004766E-2</v>
      </c>
      <c r="K219" t="s">
        <v>31</v>
      </c>
      <c r="L219" t="s">
        <v>31</v>
      </c>
      <c r="M219" t="s">
        <v>31</v>
      </c>
      <c r="O219" s="101" t="s">
        <v>580</v>
      </c>
      <c r="P219" s="114">
        <v>7</v>
      </c>
      <c r="Q219" t="s">
        <v>241</v>
      </c>
      <c r="R219">
        <f>P219*0.001</f>
        <v>7.0000000000000001E-3</v>
      </c>
    </row>
    <row r="220" spans="1:19" ht="15.6">
      <c r="A220" s="112" t="s">
        <v>871</v>
      </c>
      <c r="B220">
        <f t="shared" ref="B220:B221" si="21">R220</f>
        <v>1.3000000000000001E-2</v>
      </c>
      <c r="C220" t="s">
        <v>37</v>
      </c>
      <c r="D220" s="17" t="s">
        <v>221</v>
      </c>
      <c r="E220" t="s">
        <v>29</v>
      </c>
      <c r="F220" s="74" t="s">
        <v>35</v>
      </c>
      <c r="G220" t="s">
        <v>33</v>
      </c>
      <c r="H220">
        <v>2</v>
      </c>
      <c r="I220">
        <f>LN(B220)</f>
        <v>-4.3428059215206005</v>
      </c>
      <c r="J220">
        <v>7.2284161474004766E-2</v>
      </c>
      <c r="K220" t="s">
        <v>31</v>
      </c>
      <c r="L220" t="s">
        <v>31</v>
      </c>
      <c r="M220" t="s">
        <v>31</v>
      </c>
      <c r="O220" s="101" t="s">
        <v>580</v>
      </c>
      <c r="P220" s="114">
        <v>13</v>
      </c>
      <c r="Q220" t="s">
        <v>241</v>
      </c>
      <c r="R220">
        <f>P220*0.001</f>
        <v>1.3000000000000001E-2</v>
      </c>
    </row>
    <row r="221" spans="1:19" ht="15.6">
      <c r="A221" s="76" t="s">
        <v>799</v>
      </c>
      <c r="B221">
        <f t="shared" si="21"/>
        <v>11.7</v>
      </c>
      <c r="C221" t="s">
        <v>37</v>
      </c>
      <c r="D221" s="17" t="s">
        <v>221</v>
      </c>
      <c r="E221" t="s">
        <v>29</v>
      </c>
      <c r="F221" s="74" t="s">
        <v>74</v>
      </c>
      <c r="G221" t="s">
        <v>33</v>
      </c>
      <c r="H221">
        <v>2</v>
      </c>
      <c r="I221">
        <f t="shared" ref="I221:I222" si="22">LN(B221)</f>
        <v>2.4595888418037104</v>
      </c>
      <c r="J221">
        <v>7.2284161474004766E-2</v>
      </c>
      <c r="K221" t="s">
        <v>31</v>
      </c>
      <c r="L221" t="s">
        <v>31</v>
      </c>
      <c r="M221" t="s">
        <v>31</v>
      </c>
      <c r="O221" s="101" t="s">
        <v>241</v>
      </c>
      <c r="P221" s="114">
        <v>11.7</v>
      </c>
      <c r="Q221" t="s">
        <v>241</v>
      </c>
      <c r="R221">
        <f>P221</f>
        <v>11.7</v>
      </c>
    </row>
    <row r="222" spans="1:19" ht="15.6">
      <c r="A222" s="88" t="s">
        <v>76</v>
      </c>
      <c r="B222">
        <f>R222</f>
        <v>1.17E-2</v>
      </c>
      <c r="C222" t="s">
        <v>42</v>
      </c>
      <c r="D222" s="17" t="s">
        <v>221</v>
      </c>
      <c r="E222" t="s">
        <v>29</v>
      </c>
      <c r="F222" s="74" t="s">
        <v>74</v>
      </c>
      <c r="G222" t="s">
        <v>33</v>
      </c>
      <c r="H222">
        <v>2</v>
      </c>
      <c r="I222">
        <f t="shared" si="22"/>
        <v>-4.4481664371784264</v>
      </c>
      <c r="J222">
        <v>7.2284161474004766E-2</v>
      </c>
      <c r="K222" t="s">
        <v>31</v>
      </c>
      <c r="L222" t="s">
        <v>31</v>
      </c>
      <c r="M222" t="s">
        <v>31</v>
      </c>
      <c r="O222" s="118" t="s">
        <v>863</v>
      </c>
      <c r="P222" s="119">
        <v>11.7</v>
      </c>
      <c r="Q222" t="s">
        <v>251</v>
      </c>
      <c r="R222">
        <f>0.001*P222</f>
        <v>1.17E-2</v>
      </c>
    </row>
    <row r="223" spans="1:19" s="70" customFormat="1" ht="15.6">
      <c r="A223" s="67" t="s">
        <v>5</v>
      </c>
      <c r="B223" s="161" t="s">
        <v>1807</v>
      </c>
      <c r="C223" s="69"/>
      <c r="P223"/>
    </row>
    <row r="224" spans="1:19">
      <c r="A224" s="71" t="s">
        <v>7</v>
      </c>
      <c r="B224" t="s">
        <v>1654</v>
      </c>
      <c r="C224" s="72"/>
    </row>
    <row r="225" spans="1:16">
      <c r="A225" s="126" t="s">
        <v>9</v>
      </c>
      <c r="B225" t="s">
        <v>1817</v>
      </c>
      <c r="C225" s="72"/>
    </row>
    <row r="226" spans="1:16" ht="15.75" customHeight="1">
      <c r="A226" s="71" t="s">
        <v>11</v>
      </c>
      <c r="B226" s="73" t="s">
        <v>796</v>
      </c>
    </row>
    <row r="227" spans="1:16">
      <c r="A227" s="71" t="s">
        <v>13</v>
      </c>
      <c r="B227" t="s">
        <v>14</v>
      </c>
    </row>
    <row r="228" spans="1:16">
      <c r="A228" s="71" t="s">
        <v>15</v>
      </c>
      <c r="B228" s="127">
        <f>B233</f>
        <v>1.6E-2</v>
      </c>
    </row>
    <row r="229" spans="1:16">
      <c r="A229" s="71" t="s">
        <v>16</v>
      </c>
      <c r="B229" t="s">
        <v>17</v>
      </c>
    </row>
    <row r="230" spans="1:16">
      <c r="A230" s="71" t="s">
        <v>18</v>
      </c>
      <c r="B230" t="s">
        <v>609</v>
      </c>
    </row>
    <row r="231" spans="1:16" ht="15.6">
      <c r="A231" s="75" t="s">
        <v>19</v>
      </c>
    </row>
    <row r="232" spans="1:16" ht="15.6">
      <c r="A232" s="16" t="s">
        <v>20</v>
      </c>
      <c r="B232" s="16" t="s">
        <v>21</v>
      </c>
      <c r="C232" s="16" t="s">
        <v>18</v>
      </c>
      <c r="D232" s="16" t="s">
        <v>22</v>
      </c>
      <c r="E232" s="16" t="s">
        <v>7</v>
      </c>
      <c r="F232" s="16" t="s">
        <v>13</v>
      </c>
      <c r="G232" s="16" t="s">
        <v>16</v>
      </c>
      <c r="H232" s="16" t="s">
        <v>23</v>
      </c>
      <c r="I232" s="16" t="s">
        <v>24</v>
      </c>
      <c r="J232" s="16" t="s">
        <v>25</v>
      </c>
      <c r="K232" s="16" t="s">
        <v>26</v>
      </c>
      <c r="L232" s="16" t="s">
        <v>27</v>
      </c>
      <c r="M232" s="16" t="s">
        <v>28</v>
      </c>
      <c r="N232" s="16" t="s">
        <v>11</v>
      </c>
    </row>
    <row r="233" spans="1:16" ht="15.6">
      <c r="A233" t="s">
        <v>1807</v>
      </c>
      <c r="B233" s="115">
        <f>P233</f>
        <v>1.6E-2</v>
      </c>
      <c r="C233" t="s">
        <v>609</v>
      </c>
      <c r="D233" s="109" t="s">
        <v>1754</v>
      </c>
      <c r="E233" t="s">
        <v>29</v>
      </c>
      <c r="F233" s="74" t="s">
        <v>14</v>
      </c>
      <c r="G233" t="s">
        <v>30</v>
      </c>
      <c r="H233">
        <v>1</v>
      </c>
      <c r="I233" s="115">
        <f t="shared" ref="I233:I235" si="23">B233</f>
        <v>1.6E-2</v>
      </c>
      <c r="J233" t="s">
        <v>31</v>
      </c>
      <c r="K233" t="s">
        <v>31</v>
      </c>
      <c r="L233" t="s">
        <v>31</v>
      </c>
      <c r="M233" t="s">
        <v>31</v>
      </c>
      <c r="O233" s="163" t="s">
        <v>823</v>
      </c>
      <c r="P233" s="160">
        <v>1.6E-2</v>
      </c>
    </row>
    <row r="234" spans="1:16" ht="15.6">
      <c r="A234" t="s">
        <v>1818</v>
      </c>
      <c r="B234" s="115">
        <f>B254</f>
        <v>1.6E-2</v>
      </c>
      <c r="C234" t="s">
        <v>609</v>
      </c>
      <c r="D234" s="109" t="s">
        <v>1754</v>
      </c>
      <c r="E234" t="s">
        <v>29</v>
      </c>
      <c r="F234" s="74" t="s">
        <v>14</v>
      </c>
      <c r="G234" t="s">
        <v>33</v>
      </c>
      <c r="H234">
        <v>1</v>
      </c>
      <c r="I234" s="115">
        <f t="shared" si="23"/>
        <v>1.6E-2</v>
      </c>
      <c r="J234" t="s">
        <v>31</v>
      </c>
      <c r="K234" t="s">
        <v>31</v>
      </c>
      <c r="L234" t="s">
        <v>31</v>
      </c>
      <c r="M234" t="s">
        <v>31</v>
      </c>
      <c r="O234" s="163" t="s">
        <v>823</v>
      </c>
      <c r="P234" s="164"/>
    </row>
    <row r="235" spans="1:16" ht="15.6">
      <c r="A235" t="s">
        <v>1819</v>
      </c>
      <c r="B235" s="115">
        <f>B242</f>
        <v>2.7500000000000003E-3</v>
      </c>
      <c r="C235" t="s">
        <v>609</v>
      </c>
      <c r="D235" s="109" t="s">
        <v>1754</v>
      </c>
      <c r="E235" t="s">
        <v>29</v>
      </c>
      <c r="F235" s="74" t="s">
        <v>14</v>
      </c>
      <c r="G235" t="s">
        <v>33</v>
      </c>
      <c r="H235">
        <v>1</v>
      </c>
      <c r="I235" s="115">
        <f t="shared" si="23"/>
        <v>2.7500000000000003E-3</v>
      </c>
      <c r="J235" t="s">
        <v>31</v>
      </c>
      <c r="K235" t="s">
        <v>31</v>
      </c>
      <c r="L235" t="s">
        <v>31</v>
      </c>
      <c r="M235" t="s">
        <v>31</v>
      </c>
      <c r="O235" s="99" t="s">
        <v>823</v>
      </c>
      <c r="P235" s="160"/>
    </row>
    <row r="236" spans="1:16" ht="15.6">
      <c r="A236" s="76" t="s">
        <v>38</v>
      </c>
      <c r="B236" s="115">
        <f>P236</f>
        <v>0.38</v>
      </c>
      <c r="C236" t="s">
        <v>39</v>
      </c>
      <c r="D236" s="17" t="s">
        <v>221</v>
      </c>
      <c r="E236" t="s">
        <v>29</v>
      </c>
      <c r="F236" s="74" t="s">
        <v>35</v>
      </c>
      <c r="G236" t="s">
        <v>33</v>
      </c>
      <c r="H236">
        <v>2</v>
      </c>
      <c r="I236">
        <f t="shared" ref="I236" si="24">LN(B236)</f>
        <v>-0.96758402626170559</v>
      </c>
      <c r="J236">
        <v>0.20928449536456342</v>
      </c>
      <c r="K236" t="s">
        <v>31</v>
      </c>
      <c r="L236" t="s">
        <v>31</v>
      </c>
      <c r="M236" t="s">
        <v>31</v>
      </c>
      <c r="O236" s="101" t="s">
        <v>248</v>
      </c>
      <c r="P236" s="114">
        <v>0.38</v>
      </c>
    </row>
    <row r="237" spans="1:16" s="70" customFormat="1" ht="15.6">
      <c r="A237" s="67" t="s">
        <v>5</v>
      </c>
      <c r="B237" s="161" t="s">
        <v>1819</v>
      </c>
      <c r="C237" s="69"/>
    </row>
    <row r="238" spans="1:16">
      <c r="A238" s="71" t="s">
        <v>7</v>
      </c>
      <c r="B238" t="s">
        <v>1654</v>
      </c>
      <c r="C238" s="72"/>
    </row>
    <row r="239" spans="1:16">
      <c r="A239" s="126" t="s">
        <v>9</v>
      </c>
      <c r="B239" t="s">
        <v>1820</v>
      </c>
      <c r="C239" s="72"/>
    </row>
    <row r="240" spans="1:16" ht="15.75" customHeight="1">
      <c r="A240" s="71" t="s">
        <v>11</v>
      </c>
      <c r="B240" s="73" t="s">
        <v>796</v>
      </c>
    </row>
    <row r="241" spans="1:19">
      <c r="A241" s="71" t="s">
        <v>13</v>
      </c>
      <c r="B241" t="s">
        <v>14</v>
      </c>
    </row>
    <row r="242" spans="1:19">
      <c r="A242" s="71" t="s">
        <v>15</v>
      </c>
      <c r="B242" s="115">
        <f>B247</f>
        <v>2.7500000000000003E-3</v>
      </c>
    </row>
    <row r="243" spans="1:19">
      <c r="A243" s="71" t="s">
        <v>16</v>
      </c>
      <c r="B243" t="s">
        <v>17</v>
      </c>
    </row>
    <row r="244" spans="1:19">
      <c r="A244" s="71" t="s">
        <v>18</v>
      </c>
      <c r="B244" t="s">
        <v>609</v>
      </c>
    </row>
    <row r="245" spans="1:19" ht="15.6">
      <c r="A245" s="75" t="s">
        <v>19</v>
      </c>
    </row>
    <row r="246" spans="1:19" ht="15.6">
      <c r="A246" s="16" t="s">
        <v>20</v>
      </c>
      <c r="B246" s="16" t="s">
        <v>21</v>
      </c>
      <c r="C246" s="16" t="s">
        <v>18</v>
      </c>
      <c r="D246" s="16" t="s">
        <v>22</v>
      </c>
      <c r="E246" s="16" t="s">
        <v>7</v>
      </c>
      <c r="F246" s="16" t="s">
        <v>13</v>
      </c>
      <c r="G246" s="16" t="s">
        <v>16</v>
      </c>
      <c r="H246" s="16" t="s">
        <v>23</v>
      </c>
      <c r="I246" s="16" t="s">
        <v>24</v>
      </c>
      <c r="J246" s="16" t="s">
        <v>25</v>
      </c>
      <c r="K246" s="16" t="s">
        <v>26</v>
      </c>
      <c r="L246" s="16" t="s">
        <v>27</v>
      </c>
      <c r="M246" s="16" t="s">
        <v>28</v>
      </c>
      <c r="N246" s="16" t="s">
        <v>11</v>
      </c>
    </row>
    <row r="247" spans="1:19" ht="15.6">
      <c r="A247" t="s">
        <v>1819</v>
      </c>
      <c r="B247" s="115">
        <f>S247</f>
        <v>2.7500000000000003E-3</v>
      </c>
      <c r="C247" t="s">
        <v>609</v>
      </c>
      <c r="D247" s="109" t="s">
        <v>1754</v>
      </c>
      <c r="E247" t="s">
        <v>29</v>
      </c>
      <c r="F247" s="74" t="s">
        <v>14</v>
      </c>
      <c r="G247" t="s">
        <v>30</v>
      </c>
      <c r="H247">
        <v>1</v>
      </c>
      <c r="I247" s="115">
        <f>B247</f>
        <v>2.7500000000000003E-3</v>
      </c>
      <c r="J247" t="s">
        <v>31</v>
      </c>
      <c r="K247" t="s">
        <v>31</v>
      </c>
      <c r="L247" t="s">
        <v>31</v>
      </c>
      <c r="M247" t="s">
        <v>31</v>
      </c>
      <c r="P247" s="101" t="s">
        <v>1125</v>
      </c>
      <c r="Q247" s="114">
        <v>27.5</v>
      </c>
      <c r="R247" t="s">
        <v>610</v>
      </c>
      <c r="S247">
        <f>Q247*0.0001</f>
        <v>2.7500000000000003E-3</v>
      </c>
    </row>
    <row r="248" spans="1:19">
      <c r="A248" s="88" t="s">
        <v>947</v>
      </c>
      <c r="B248" s="115">
        <f>S248</f>
        <v>2.7500000000000003E-3</v>
      </c>
      <c r="C248" t="s">
        <v>609</v>
      </c>
      <c r="D248" t="s">
        <v>221</v>
      </c>
      <c r="E248" t="s">
        <v>29</v>
      </c>
      <c r="F248" t="s">
        <v>59</v>
      </c>
      <c r="G248" t="s">
        <v>33</v>
      </c>
      <c r="H248">
        <v>2</v>
      </c>
      <c r="I248">
        <f>LN(B248)</f>
        <v>-5.8961543673036569</v>
      </c>
      <c r="J248">
        <v>3.7749172176353707E-2</v>
      </c>
      <c r="K248" t="s">
        <v>31</v>
      </c>
      <c r="L248" t="s">
        <v>31</v>
      </c>
      <c r="M248" t="s">
        <v>31</v>
      </c>
      <c r="P248" s="99" t="s">
        <v>1125</v>
      </c>
      <c r="Q248" s="114">
        <v>27.5</v>
      </c>
      <c r="R248" t="s">
        <v>610</v>
      </c>
      <c r="S248">
        <f>Q248*0.0001</f>
        <v>2.7500000000000003E-3</v>
      </c>
    </row>
    <row r="249" spans="1:19" s="70" customFormat="1" ht="15.6">
      <c r="A249" s="67" t="s">
        <v>5</v>
      </c>
      <c r="B249" s="123" t="s">
        <v>1818</v>
      </c>
    </row>
    <row r="250" spans="1:19">
      <c r="A250" s="71" t="s">
        <v>7</v>
      </c>
      <c r="B250" t="s">
        <v>1654</v>
      </c>
      <c r="C250" s="72"/>
    </row>
    <row r="251" spans="1:19">
      <c r="A251" s="126" t="s">
        <v>9</v>
      </c>
      <c r="B251" t="s">
        <v>1821</v>
      </c>
      <c r="C251" s="72"/>
    </row>
    <row r="252" spans="1:19" ht="15.75" customHeight="1">
      <c r="A252" s="71" t="s">
        <v>11</v>
      </c>
      <c r="B252" s="73" t="s">
        <v>796</v>
      </c>
    </row>
    <row r="253" spans="1:19">
      <c r="A253" s="71" t="s">
        <v>13</v>
      </c>
      <c r="B253" t="s">
        <v>14</v>
      </c>
    </row>
    <row r="254" spans="1:19">
      <c r="A254" s="71" t="s">
        <v>15</v>
      </c>
      <c r="B254" s="115">
        <f>B259</f>
        <v>1.6E-2</v>
      </c>
    </row>
    <row r="255" spans="1:19">
      <c r="A255" s="71" t="s">
        <v>16</v>
      </c>
      <c r="B255" t="s">
        <v>17</v>
      </c>
    </row>
    <row r="256" spans="1:19">
      <c r="A256" s="71" t="s">
        <v>18</v>
      </c>
      <c r="B256" t="s">
        <v>609</v>
      </c>
    </row>
    <row r="257" spans="1:18" ht="15.6">
      <c r="A257" s="75" t="s">
        <v>19</v>
      </c>
    </row>
    <row r="258" spans="1:18" ht="15.6">
      <c r="A258" s="16" t="s">
        <v>20</v>
      </c>
      <c r="B258" s="16" t="s">
        <v>21</v>
      </c>
      <c r="C258" s="16" t="s">
        <v>18</v>
      </c>
      <c r="D258" s="16" t="s">
        <v>22</v>
      </c>
      <c r="E258" s="16" t="s">
        <v>7</v>
      </c>
      <c r="F258" s="16" t="s">
        <v>13</v>
      </c>
      <c r="G258" s="16" t="s">
        <v>16</v>
      </c>
      <c r="H258" s="16" t="s">
        <v>23</v>
      </c>
      <c r="I258" s="16" t="s">
        <v>24</v>
      </c>
      <c r="J258" s="16" t="s">
        <v>25</v>
      </c>
      <c r="K258" s="16" t="s">
        <v>26</v>
      </c>
      <c r="L258" s="16" t="s">
        <v>27</v>
      </c>
      <c r="M258" s="16" t="s">
        <v>28</v>
      </c>
      <c r="N258" s="16" t="s">
        <v>11</v>
      </c>
    </row>
    <row r="259" spans="1:18" ht="15.6">
      <c r="A259" t="s">
        <v>1818</v>
      </c>
      <c r="B259" s="115">
        <f>B260</f>
        <v>1.6E-2</v>
      </c>
      <c r="C259" t="s">
        <v>609</v>
      </c>
      <c r="D259" s="109" t="s">
        <v>1754</v>
      </c>
      <c r="E259" t="s">
        <v>29</v>
      </c>
      <c r="F259" s="74" t="s">
        <v>14</v>
      </c>
      <c r="G259" t="s">
        <v>30</v>
      </c>
      <c r="H259">
        <v>1</v>
      </c>
      <c r="I259" s="115">
        <f t="shared" ref="I259:I260" si="25">B259</f>
        <v>1.6E-2</v>
      </c>
      <c r="J259" t="s">
        <v>31</v>
      </c>
      <c r="K259" t="s">
        <v>31</v>
      </c>
      <c r="L259" t="s">
        <v>31</v>
      </c>
      <c r="M259" t="s">
        <v>31</v>
      </c>
    </row>
    <row r="260" spans="1:18" ht="15.6">
      <c r="A260" t="s">
        <v>1822</v>
      </c>
      <c r="B260" s="115">
        <f>P260</f>
        <v>1.6E-2</v>
      </c>
      <c r="C260" t="s">
        <v>609</v>
      </c>
      <c r="D260" s="109" t="s">
        <v>1754</v>
      </c>
      <c r="E260" t="s">
        <v>29</v>
      </c>
      <c r="F260" t="s">
        <v>14</v>
      </c>
      <c r="G260" t="s">
        <v>33</v>
      </c>
      <c r="H260">
        <v>1</v>
      </c>
      <c r="I260" s="115">
        <f t="shared" si="25"/>
        <v>1.6E-2</v>
      </c>
      <c r="J260" t="s">
        <v>31</v>
      </c>
      <c r="K260" t="s">
        <v>31</v>
      </c>
      <c r="L260" t="s">
        <v>31</v>
      </c>
      <c r="M260" t="s">
        <v>31</v>
      </c>
      <c r="P260" s="171">
        <v>1.6E-2</v>
      </c>
    </row>
    <row r="261" spans="1:18" ht="15.6">
      <c r="A261" s="76" t="s">
        <v>38</v>
      </c>
      <c r="B261" s="122">
        <f>R261</f>
        <v>0.14000000000000001</v>
      </c>
      <c r="C261" t="s">
        <v>39</v>
      </c>
      <c r="D261" s="17" t="s">
        <v>221</v>
      </c>
      <c r="E261" t="s">
        <v>29</v>
      </c>
      <c r="F261" s="74" t="s">
        <v>35</v>
      </c>
      <c r="G261" t="s">
        <v>33</v>
      </c>
      <c r="H261">
        <v>2</v>
      </c>
      <c r="I261">
        <f t="shared" ref="I261:I265" si="26">LN(B261)</f>
        <v>-1.9661128563728327</v>
      </c>
      <c r="J261">
        <v>0.20928449536456342</v>
      </c>
      <c r="K261" t="s">
        <v>31</v>
      </c>
      <c r="L261" t="s">
        <v>31</v>
      </c>
      <c r="M261" t="s">
        <v>31</v>
      </c>
      <c r="O261" s="78" t="s">
        <v>248</v>
      </c>
      <c r="P261" s="114">
        <v>0.14000000000000001</v>
      </c>
      <c r="Q261" t="s">
        <v>248</v>
      </c>
      <c r="R261" s="122">
        <f>P261</f>
        <v>0.14000000000000001</v>
      </c>
    </row>
    <row r="262" spans="1:18" ht="15.6">
      <c r="A262" s="88" t="s">
        <v>798</v>
      </c>
      <c r="B262">
        <f>R262</f>
        <v>4.4000000000000003E-3</v>
      </c>
      <c r="C262" t="s">
        <v>37</v>
      </c>
      <c r="D262" s="17" t="s">
        <v>221</v>
      </c>
      <c r="E262" t="s">
        <v>29</v>
      </c>
      <c r="F262" s="74" t="s">
        <v>35</v>
      </c>
      <c r="G262" t="s">
        <v>33</v>
      </c>
      <c r="H262">
        <v>2</v>
      </c>
      <c r="I262">
        <f t="shared" si="26"/>
        <v>-5.4261507380579213</v>
      </c>
      <c r="J262">
        <v>0.20928449536456342</v>
      </c>
      <c r="K262" t="s">
        <v>31</v>
      </c>
      <c r="L262" t="s">
        <v>31</v>
      </c>
      <c r="M262" t="s">
        <v>31</v>
      </c>
      <c r="O262" s="101" t="s">
        <v>580</v>
      </c>
      <c r="P262" s="114">
        <v>4.4000000000000004</v>
      </c>
      <c r="Q262" t="s">
        <v>241</v>
      </c>
      <c r="R262">
        <f>0.001*P262</f>
        <v>4.4000000000000003E-3</v>
      </c>
    </row>
    <row r="263" spans="1:18" ht="15.6">
      <c r="A263" s="88" t="s">
        <v>308</v>
      </c>
      <c r="B263">
        <f>R263</f>
        <v>6.9999999999999999E-4</v>
      </c>
      <c r="C263" t="s">
        <v>37</v>
      </c>
      <c r="D263" s="17" t="s">
        <v>221</v>
      </c>
      <c r="E263" t="s">
        <v>29</v>
      </c>
      <c r="F263" s="74" t="s">
        <v>59</v>
      </c>
      <c r="G263" t="s">
        <v>33</v>
      </c>
      <c r="H263">
        <v>2</v>
      </c>
      <c r="I263">
        <f t="shared" si="26"/>
        <v>-7.2644302229208693</v>
      </c>
      <c r="J263">
        <v>0.20928449536456342</v>
      </c>
      <c r="K263" t="s">
        <v>31</v>
      </c>
      <c r="L263" t="s">
        <v>31</v>
      </c>
      <c r="M263" t="s">
        <v>31</v>
      </c>
      <c r="O263" s="101" t="s">
        <v>580</v>
      </c>
      <c r="P263" s="114">
        <v>0.7</v>
      </c>
      <c r="Q263" t="s">
        <v>241</v>
      </c>
      <c r="R263">
        <f>0.001*P263</f>
        <v>6.9999999999999999E-4</v>
      </c>
    </row>
    <row r="264" spans="1:18" ht="15.6">
      <c r="A264" s="76" t="s">
        <v>799</v>
      </c>
      <c r="B264">
        <f>R264</f>
        <v>2.1700000000000001E-2</v>
      </c>
      <c r="C264" t="s">
        <v>37</v>
      </c>
      <c r="D264" s="17" t="s">
        <v>221</v>
      </c>
      <c r="E264" t="s">
        <v>29</v>
      </c>
      <c r="F264" s="74" t="s">
        <v>74</v>
      </c>
      <c r="G264" t="s">
        <v>33</v>
      </c>
      <c r="H264">
        <v>2</v>
      </c>
      <c r="I264">
        <f t="shared" si="26"/>
        <v>-3.830443018435723</v>
      </c>
      <c r="J264">
        <v>0.20928449536456342</v>
      </c>
      <c r="K264" t="s">
        <v>31</v>
      </c>
      <c r="L264" t="s">
        <v>31</v>
      </c>
      <c r="M264" t="s">
        <v>31</v>
      </c>
      <c r="O264" s="101" t="s">
        <v>580</v>
      </c>
      <c r="P264" s="114">
        <v>21.7</v>
      </c>
      <c r="Q264" t="s">
        <v>241</v>
      </c>
      <c r="R264">
        <f>0.001*P264</f>
        <v>2.1700000000000001E-2</v>
      </c>
    </row>
    <row r="265" spans="1:18" ht="15.6">
      <c r="A265" s="17" t="s">
        <v>1657</v>
      </c>
      <c r="B265">
        <f>R265</f>
        <v>5.0999999999999995E-3</v>
      </c>
      <c r="C265" t="s">
        <v>37</v>
      </c>
      <c r="D265" s="109" t="s">
        <v>1754</v>
      </c>
      <c r="E265" t="s">
        <v>29</v>
      </c>
      <c r="F265" s="74" t="s">
        <v>74</v>
      </c>
      <c r="G265" t="s">
        <v>33</v>
      </c>
      <c r="H265">
        <v>2</v>
      </c>
      <c r="I265">
        <f t="shared" si="26"/>
        <v>-5.2785147392518574</v>
      </c>
      <c r="J265">
        <v>0.20928449536456342</v>
      </c>
      <c r="K265" t="s">
        <v>31</v>
      </c>
      <c r="L265" t="s">
        <v>31</v>
      </c>
      <c r="M265" t="s">
        <v>31</v>
      </c>
      <c r="O265" s="166" t="s">
        <v>580</v>
      </c>
      <c r="P265" s="119">
        <v>5.0999999999999996</v>
      </c>
      <c r="Q265" t="s">
        <v>241</v>
      </c>
      <c r="R265">
        <f>0.001*P265</f>
        <v>5.0999999999999995E-3</v>
      </c>
    </row>
    <row r="266" spans="1:18" s="70" customFormat="1" ht="15.6">
      <c r="A266" s="67" t="s">
        <v>5</v>
      </c>
      <c r="B266" s="123" t="s">
        <v>1822</v>
      </c>
    </row>
    <row r="267" spans="1:18">
      <c r="A267" s="71" t="s">
        <v>7</v>
      </c>
      <c r="B267" t="s">
        <v>1654</v>
      </c>
      <c r="C267" s="72"/>
    </row>
    <row r="268" spans="1:18">
      <c r="A268" s="126" t="s">
        <v>9</v>
      </c>
      <c r="B268" t="s">
        <v>1823</v>
      </c>
      <c r="C268" s="72"/>
    </row>
    <row r="269" spans="1:18" ht="15.75" customHeight="1">
      <c r="A269" s="71" t="s">
        <v>11</v>
      </c>
      <c r="B269" s="73" t="s">
        <v>796</v>
      </c>
    </row>
    <row r="270" spans="1:18">
      <c r="A270" s="71" t="s">
        <v>13</v>
      </c>
      <c r="B270" t="s">
        <v>14</v>
      </c>
    </row>
    <row r="271" spans="1:18">
      <c r="A271" s="71" t="s">
        <v>15</v>
      </c>
      <c r="B271" s="115">
        <f>B276</f>
        <v>1.6E-2</v>
      </c>
    </row>
    <row r="272" spans="1:18">
      <c r="A272" s="71" t="s">
        <v>16</v>
      </c>
      <c r="B272" t="s">
        <v>17</v>
      </c>
    </row>
    <row r="273" spans="1:18">
      <c r="A273" s="71" t="s">
        <v>18</v>
      </c>
      <c r="B273" t="s">
        <v>609</v>
      </c>
    </row>
    <row r="274" spans="1:18" ht="15.6">
      <c r="A274" s="75" t="s">
        <v>19</v>
      </c>
    </row>
    <row r="275" spans="1:18" ht="15.6">
      <c r="A275" s="16" t="s">
        <v>20</v>
      </c>
      <c r="B275" s="16" t="s">
        <v>21</v>
      </c>
      <c r="C275" s="16" t="s">
        <v>18</v>
      </c>
      <c r="D275" s="16" t="s">
        <v>22</v>
      </c>
      <c r="E275" s="16" t="s">
        <v>7</v>
      </c>
      <c r="F275" s="16" t="s">
        <v>13</v>
      </c>
      <c r="G275" s="16" t="s">
        <v>16</v>
      </c>
      <c r="H275" s="16" t="s">
        <v>23</v>
      </c>
      <c r="I275" s="16" t="s">
        <v>24</v>
      </c>
      <c r="J275" s="16" t="s">
        <v>25</v>
      </c>
      <c r="K275" s="16" t="s">
        <v>26</v>
      </c>
      <c r="L275" s="16" t="s">
        <v>27</v>
      </c>
      <c r="M275" s="16" t="s">
        <v>28</v>
      </c>
      <c r="N275" s="16" t="s">
        <v>11</v>
      </c>
    </row>
    <row r="276" spans="1:18" ht="15.6">
      <c r="A276" t="s">
        <v>1822</v>
      </c>
      <c r="B276" s="115">
        <f>P277</f>
        <v>1.6E-2</v>
      </c>
      <c r="C276" t="s">
        <v>609</v>
      </c>
      <c r="D276" s="109" t="s">
        <v>1754</v>
      </c>
      <c r="E276" t="s">
        <v>29</v>
      </c>
      <c r="F276" t="s">
        <v>14</v>
      </c>
      <c r="G276" t="s">
        <v>30</v>
      </c>
      <c r="H276">
        <v>1</v>
      </c>
      <c r="I276" s="115">
        <f t="shared" ref="I276:I277" si="27">B276</f>
        <v>1.6E-2</v>
      </c>
      <c r="J276" t="s">
        <v>31</v>
      </c>
      <c r="K276" t="s">
        <v>31</v>
      </c>
      <c r="L276" t="s">
        <v>31</v>
      </c>
      <c r="M276" t="s">
        <v>31</v>
      </c>
    </row>
    <row r="277" spans="1:18" ht="15.6">
      <c r="A277" t="s">
        <v>1824</v>
      </c>
      <c r="B277" s="115">
        <f>P277</f>
        <v>1.6E-2</v>
      </c>
      <c r="C277" t="s">
        <v>609</v>
      </c>
      <c r="D277" s="109" t="s">
        <v>1754</v>
      </c>
      <c r="E277" t="s">
        <v>29</v>
      </c>
      <c r="F277" t="s">
        <v>14</v>
      </c>
      <c r="G277" t="s">
        <v>33</v>
      </c>
      <c r="H277">
        <v>1</v>
      </c>
      <c r="I277" s="115">
        <f t="shared" si="27"/>
        <v>1.6E-2</v>
      </c>
      <c r="J277" t="s">
        <v>31</v>
      </c>
      <c r="K277" t="s">
        <v>31</v>
      </c>
      <c r="L277" t="s">
        <v>31</v>
      </c>
      <c r="M277" t="s">
        <v>31</v>
      </c>
      <c r="P277" s="160">
        <v>1.6E-2</v>
      </c>
    </row>
    <row r="278" spans="1:18" ht="15.6">
      <c r="A278" s="76" t="s">
        <v>38</v>
      </c>
      <c r="B278" s="122">
        <f>P278</f>
        <v>3.05</v>
      </c>
      <c r="C278" t="s">
        <v>39</v>
      </c>
      <c r="D278" s="17" t="s">
        <v>221</v>
      </c>
      <c r="E278" t="s">
        <v>29</v>
      </c>
      <c r="F278" s="74" t="s">
        <v>35</v>
      </c>
      <c r="G278" t="s">
        <v>33</v>
      </c>
      <c r="H278">
        <v>2</v>
      </c>
      <c r="I278">
        <f t="shared" ref="I278:I279" si="28">LN(B278)</f>
        <v>1.1151415906193203</v>
      </c>
      <c r="J278">
        <v>0.20928449536456342</v>
      </c>
      <c r="K278" t="s">
        <v>31</v>
      </c>
      <c r="L278" t="s">
        <v>31</v>
      </c>
      <c r="M278" t="s">
        <v>31</v>
      </c>
      <c r="O278" s="101" t="s">
        <v>248</v>
      </c>
      <c r="P278" s="114">
        <f>2.1+0.95</f>
        <v>3.05</v>
      </c>
    </row>
    <row r="279" spans="1:18" ht="15.6">
      <c r="A279" s="76" t="s">
        <v>799</v>
      </c>
      <c r="B279" s="122">
        <f>R279</f>
        <v>6.0999999999999995E-3</v>
      </c>
      <c r="C279" t="s">
        <v>37</v>
      </c>
      <c r="D279" s="17" t="s">
        <v>221</v>
      </c>
      <c r="E279" t="s">
        <v>29</v>
      </c>
      <c r="F279" s="74" t="s">
        <v>74</v>
      </c>
      <c r="G279" t="s">
        <v>33</v>
      </c>
      <c r="H279">
        <v>2</v>
      </c>
      <c r="I279">
        <f t="shared" si="28"/>
        <v>-5.0994665078028714</v>
      </c>
      <c r="J279">
        <v>0.20928449536456342</v>
      </c>
      <c r="K279" t="s">
        <v>31</v>
      </c>
      <c r="L279" t="s">
        <v>31</v>
      </c>
      <c r="M279" t="s">
        <v>31</v>
      </c>
      <c r="O279" s="101" t="s">
        <v>580</v>
      </c>
      <c r="P279" s="114">
        <v>6.1</v>
      </c>
      <c r="Q279" t="s">
        <v>241</v>
      </c>
      <c r="R279">
        <f>P279*0.001</f>
        <v>6.0999999999999995E-3</v>
      </c>
    </row>
    <row r="280" spans="1:18">
      <c r="A280" s="88" t="s">
        <v>545</v>
      </c>
      <c r="B280" s="122">
        <f>R280</f>
        <v>7.4999999999999997E-3</v>
      </c>
      <c r="C280" t="s">
        <v>37</v>
      </c>
      <c r="D280" t="s">
        <v>221</v>
      </c>
      <c r="E280" t="s">
        <v>29</v>
      </c>
      <c r="F280" t="s">
        <v>35</v>
      </c>
      <c r="G280" t="s">
        <v>33</v>
      </c>
      <c r="H280">
        <v>2</v>
      </c>
      <c r="I280">
        <f>LN(B280)</f>
        <v>-4.8928522584398726</v>
      </c>
      <c r="J280">
        <v>0.20928449536456342</v>
      </c>
      <c r="K280" t="s">
        <v>31</v>
      </c>
      <c r="L280" t="s">
        <v>31</v>
      </c>
      <c r="M280" t="s">
        <v>31</v>
      </c>
      <c r="O280" s="101" t="s">
        <v>580</v>
      </c>
      <c r="P280" s="114">
        <v>7.5</v>
      </c>
      <c r="Q280" t="s">
        <v>241</v>
      </c>
      <c r="R280">
        <f>P280*0.001</f>
        <v>7.4999999999999997E-3</v>
      </c>
    </row>
    <row r="281" spans="1:18" ht="15.6">
      <c r="A281" s="17" t="s">
        <v>1657</v>
      </c>
      <c r="B281" s="122">
        <f>R281</f>
        <v>7.4999999999999997E-3</v>
      </c>
      <c r="C281" t="s">
        <v>37</v>
      </c>
      <c r="D281" s="109" t="s">
        <v>1754</v>
      </c>
      <c r="E281" t="s">
        <v>29</v>
      </c>
      <c r="F281" s="74" t="s">
        <v>74</v>
      </c>
      <c r="G281" t="s">
        <v>33</v>
      </c>
      <c r="H281">
        <v>2</v>
      </c>
      <c r="I281">
        <f t="shared" ref="I281" si="29">LN(B281)</f>
        <v>-4.8928522584398726</v>
      </c>
      <c r="J281">
        <v>0.20928449536456342</v>
      </c>
      <c r="K281" t="s">
        <v>31</v>
      </c>
      <c r="L281" t="s">
        <v>31</v>
      </c>
      <c r="M281" t="s">
        <v>31</v>
      </c>
      <c r="O281" s="166" t="s">
        <v>580</v>
      </c>
      <c r="P281" s="119">
        <v>7.5</v>
      </c>
      <c r="Q281" t="s">
        <v>241</v>
      </c>
      <c r="R281">
        <f>0.001*P281</f>
        <v>7.4999999999999997E-3</v>
      </c>
    </row>
    <row r="282" spans="1:18" s="70" customFormat="1" ht="15.6">
      <c r="A282" s="67" t="s">
        <v>5</v>
      </c>
      <c r="B282" s="123" t="s">
        <v>1824</v>
      </c>
    </row>
    <row r="283" spans="1:18">
      <c r="A283" s="71" t="s">
        <v>7</v>
      </c>
      <c r="B283" t="s">
        <v>1654</v>
      </c>
      <c r="C283" s="72"/>
    </row>
    <row r="284" spans="1:18">
      <c r="A284" s="126" t="s">
        <v>9</v>
      </c>
      <c r="B284" t="s">
        <v>1825</v>
      </c>
      <c r="C284" s="72"/>
    </row>
    <row r="285" spans="1:18" ht="15.75" customHeight="1">
      <c r="A285" s="71" t="s">
        <v>11</v>
      </c>
      <c r="B285" s="73" t="s">
        <v>796</v>
      </c>
    </row>
    <row r="286" spans="1:18">
      <c r="A286" s="71" t="s">
        <v>13</v>
      </c>
      <c r="B286" t="s">
        <v>14</v>
      </c>
    </row>
    <row r="287" spans="1:18">
      <c r="A287" s="71" t="s">
        <v>15</v>
      </c>
      <c r="B287" s="115">
        <f>B292</f>
        <v>0.03</v>
      </c>
    </row>
    <row r="288" spans="1:18">
      <c r="A288" s="71" t="s">
        <v>16</v>
      </c>
      <c r="B288" t="s">
        <v>17</v>
      </c>
      <c r="R288" s="131" t="s">
        <v>885</v>
      </c>
    </row>
    <row r="289" spans="1:21">
      <c r="A289" s="71" t="s">
        <v>18</v>
      </c>
      <c r="B289" t="s">
        <v>609</v>
      </c>
      <c r="R289" t="s">
        <v>886</v>
      </c>
      <c r="S289">
        <v>8900</v>
      </c>
      <c r="T289" t="s">
        <v>887</v>
      </c>
    </row>
    <row r="290" spans="1:21" ht="15.6">
      <c r="A290" s="75" t="s">
        <v>19</v>
      </c>
      <c r="R290" t="s">
        <v>888</v>
      </c>
      <c r="S290">
        <f>5*10^-6</f>
        <v>4.9999999999999996E-6</v>
      </c>
      <c r="T290" t="s">
        <v>889</v>
      </c>
    </row>
    <row r="291" spans="1:21" ht="15.6">
      <c r="A291" s="16" t="s">
        <v>20</v>
      </c>
      <c r="B291" s="16" t="s">
        <v>21</v>
      </c>
      <c r="C291" s="16" t="s">
        <v>18</v>
      </c>
      <c r="D291" s="16" t="s">
        <v>22</v>
      </c>
      <c r="E291" s="16" t="s">
        <v>7</v>
      </c>
      <c r="F291" s="16" t="s">
        <v>13</v>
      </c>
      <c r="G291" s="16" t="s">
        <v>16</v>
      </c>
      <c r="H291" s="16" t="s">
        <v>23</v>
      </c>
      <c r="I291" s="16" t="s">
        <v>24</v>
      </c>
      <c r="J291" s="16" t="s">
        <v>25</v>
      </c>
      <c r="K291" s="16" t="s">
        <v>26</v>
      </c>
      <c r="L291" s="16" t="s">
        <v>27</v>
      </c>
      <c r="M291" s="16" t="s">
        <v>28</v>
      </c>
      <c r="N291" s="16" t="s">
        <v>11</v>
      </c>
      <c r="R291" s="134" t="s">
        <v>890</v>
      </c>
      <c r="S291" s="135">
        <v>0.46</v>
      </c>
      <c r="T291" s="136" t="s">
        <v>891</v>
      </c>
    </row>
    <row r="292" spans="1:21" ht="15.6">
      <c r="A292" t="s">
        <v>1824</v>
      </c>
      <c r="B292" s="115">
        <v>0.03</v>
      </c>
      <c r="C292" t="s">
        <v>609</v>
      </c>
      <c r="D292" s="109" t="s">
        <v>1754</v>
      </c>
      <c r="E292" t="s">
        <v>29</v>
      </c>
      <c r="F292" t="s">
        <v>14</v>
      </c>
      <c r="G292" t="s">
        <v>30</v>
      </c>
      <c r="H292">
        <v>1</v>
      </c>
      <c r="I292" s="115">
        <f t="shared" ref="I292:I294" si="30">B292</f>
        <v>0.03</v>
      </c>
      <c r="J292" t="s">
        <v>31</v>
      </c>
      <c r="K292" t="s">
        <v>31</v>
      </c>
      <c r="L292" t="s">
        <v>31</v>
      </c>
      <c r="M292" t="s">
        <v>31</v>
      </c>
      <c r="O292" s="101" t="s">
        <v>892</v>
      </c>
      <c r="P292" s="114">
        <f>B292*100</f>
        <v>3</v>
      </c>
    </row>
    <row r="293" spans="1:21" ht="15.6">
      <c r="A293" t="s">
        <v>1826</v>
      </c>
      <c r="B293" s="115">
        <v>0.03</v>
      </c>
      <c r="C293" t="s">
        <v>609</v>
      </c>
      <c r="D293" s="109" t="s">
        <v>1754</v>
      </c>
      <c r="E293" t="s">
        <v>29</v>
      </c>
      <c r="F293" t="s">
        <v>14</v>
      </c>
      <c r="G293" t="s">
        <v>33</v>
      </c>
      <c r="H293">
        <v>1</v>
      </c>
      <c r="I293" s="115">
        <f t="shared" si="30"/>
        <v>0.03</v>
      </c>
      <c r="J293">
        <v>7.2284161474004766E-2</v>
      </c>
      <c r="K293" t="s">
        <v>31</v>
      </c>
      <c r="L293" t="s">
        <v>31</v>
      </c>
      <c r="M293" t="s">
        <v>31</v>
      </c>
      <c r="O293" s="101" t="s">
        <v>892</v>
      </c>
      <c r="P293" s="114">
        <f>B293*100</f>
        <v>3</v>
      </c>
      <c r="R293" t="s">
        <v>554</v>
      </c>
      <c r="U293" s="111"/>
    </row>
    <row r="294" spans="1:21" ht="15.6">
      <c r="A294" s="59" t="s">
        <v>1768</v>
      </c>
      <c r="B294" s="124">
        <f>R294</f>
        <v>0.69</v>
      </c>
      <c r="C294" t="s">
        <v>37</v>
      </c>
      <c r="D294" s="109" t="s">
        <v>1754</v>
      </c>
      <c r="E294" t="s">
        <v>29</v>
      </c>
      <c r="F294" s="74" t="s">
        <v>14</v>
      </c>
      <c r="G294" t="s">
        <v>33</v>
      </c>
      <c r="H294">
        <v>1</v>
      </c>
      <c r="I294" s="115">
        <f t="shared" si="30"/>
        <v>0.69</v>
      </c>
      <c r="J294">
        <v>7.2284161474004766E-2</v>
      </c>
      <c r="K294" t="s">
        <v>31</v>
      </c>
      <c r="L294" t="s">
        <v>31</v>
      </c>
      <c r="M294" t="s">
        <v>31</v>
      </c>
      <c r="O294" s="128"/>
      <c r="P294" s="129"/>
      <c r="R294" s="139">
        <v>0.69</v>
      </c>
      <c r="S294" s="140" t="s">
        <v>610</v>
      </c>
      <c r="T294" s="139">
        <f>R294*S291</f>
        <v>0.31740000000000002</v>
      </c>
      <c r="U294" s="140" t="s">
        <v>241</v>
      </c>
    </row>
    <row r="295" spans="1:21" ht="15.6">
      <c r="A295" s="76" t="s">
        <v>799</v>
      </c>
      <c r="B295">
        <f>P295</f>
        <v>5.5</v>
      </c>
      <c r="C295" t="s">
        <v>37</v>
      </c>
      <c r="D295" s="17" t="s">
        <v>221</v>
      </c>
      <c r="E295" t="s">
        <v>29</v>
      </c>
      <c r="F295" s="74" t="s">
        <v>74</v>
      </c>
      <c r="G295" t="s">
        <v>33</v>
      </c>
      <c r="H295">
        <v>2</v>
      </c>
      <c r="I295">
        <f t="shared" ref="I295" si="31">LN(B295)</f>
        <v>1.7047480922384253</v>
      </c>
      <c r="J295">
        <v>7.2284161474004766E-2</v>
      </c>
      <c r="K295" t="s">
        <v>31</v>
      </c>
      <c r="L295" t="s">
        <v>31</v>
      </c>
      <c r="M295" t="s">
        <v>31</v>
      </c>
      <c r="O295" s="101" t="s">
        <v>241</v>
      </c>
      <c r="P295" s="138">
        <v>5.5</v>
      </c>
    </row>
    <row r="296" spans="1:21" ht="15.6">
      <c r="A296" s="88" t="s">
        <v>874</v>
      </c>
      <c r="B296" s="122">
        <f>R296</f>
        <v>2.9999999999999999E-7</v>
      </c>
      <c r="C296" t="s">
        <v>37</v>
      </c>
      <c r="D296" s="17" t="s">
        <v>221</v>
      </c>
      <c r="E296" t="s">
        <v>29</v>
      </c>
      <c r="F296" s="74" t="s">
        <v>59</v>
      </c>
      <c r="G296" t="s">
        <v>33</v>
      </c>
      <c r="H296">
        <v>2</v>
      </c>
      <c r="I296">
        <f>LN(B296)</f>
        <v>-15.01948336229021</v>
      </c>
      <c r="J296">
        <v>7.2284161474004766E-2</v>
      </c>
      <c r="K296" t="s">
        <v>31</v>
      </c>
      <c r="L296" t="s">
        <v>31</v>
      </c>
      <c r="M296" t="s">
        <v>31</v>
      </c>
      <c r="O296" s="116" t="s">
        <v>538</v>
      </c>
      <c r="P296" s="141">
        <v>0.3</v>
      </c>
      <c r="Q296" s="101" t="s">
        <v>241</v>
      </c>
      <c r="R296">
        <f>P296*0.000001</f>
        <v>2.9999999999999999E-7</v>
      </c>
    </row>
    <row r="297" spans="1:21" ht="15.6">
      <c r="A297" s="88" t="s">
        <v>76</v>
      </c>
      <c r="B297">
        <f>R297</f>
        <v>5.4999999999999997E-3</v>
      </c>
      <c r="C297" t="s">
        <v>42</v>
      </c>
      <c r="D297" s="17" t="s">
        <v>221</v>
      </c>
      <c r="E297" t="s">
        <v>29</v>
      </c>
      <c r="F297" s="74" t="s">
        <v>74</v>
      </c>
      <c r="G297" t="s">
        <v>33</v>
      </c>
      <c r="H297">
        <v>2</v>
      </c>
      <c r="I297">
        <f t="shared" ref="I297" si="32">LN(B297)</f>
        <v>-5.2030071867437115</v>
      </c>
      <c r="J297">
        <v>7.2284161474004766E-2</v>
      </c>
      <c r="K297" t="s">
        <v>31</v>
      </c>
      <c r="L297" t="s">
        <v>31</v>
      </c>
      <c r="M297" t="s">
        <v>31</v>
      </c>
      <c r="O297" s="118" t="s">
        <v>863</v>
      </c>
      <c r="P297" s="142">
        <v>5.5</v>
      </c>
      <c r="Q297" t="s">
        <v>251</v>
      </c>
      <c r="R297">
        <f>P297*0.001</f>
        <v>5.4999999999999997E-3</v>
      </c>
    </row>
    <row r="298" spans="1:21" s="70" customFormat="1" ht="15.6">
      <c r="A298" s="67" t="s">
        <v>5</v>
      </c>
      <c r="B298" s="123" t="s">
        <v>1826</v>
      </c>
    </row>
    <row r="299" spans="1:21">
      <c r="A299" s="71" t="s">
        <v>7</v>
      </c>
      <c r="B299" t="s">
        <v>1654</v>
      </c>
      <c r="C299" s="72"/>
    </row>
    <row r="300" spans="1:21">
      <c r="A300" s="126" t="s">
        <v>9</v>
      </c>
      <c r="B300" t="s">
        <v>1827</v>
      </c>
      <c r="C300" s="72"/>
    </row>
    <row r="301" spans="1:21" ht="15.75" customHeight="1">
      <c r="A301" s="71" t="s">
        <v>11</v>
      </c>
      <c r="B301" s="73" t="s">
        <v>796</v>
      </c>
    </row>
    <row r="302" spans="1:21">
      <c r="A302" s="71" t="s">
        <v>13</v>
      </c>
      <c r="B302" t="s">
        <v>14</v>
      </c>
    </row>
    <row r="303" spans="1:21">
      <c r="A303" s="71" t="s">
        <v>15</v>
      </c>
      <c r="B303" s="115">
        <f>B308</f>
        <v>1.6E-2</v>
      </c>
    </row>
    <row r="304" spans="1:21">
      <c r="A304" s="71" t="s">
        <v>16</v>
      </c>
      <c r="B304" t="s">
        <v>17</v>
      </c>
    </row>
    <row r="305" spans="1:20">
      <c r="A305" s="71" t="s">
        <v>18</v>
      </c>
      <c r="B305" t="s">
        <v>609</v>
      </c>
    </row>
    <row r="306" spans="1:20" ht="15.6">
      <c r="A306" s="75" t="s">
        <v>19</v>
      </c>
    </row>
    <row r="307" spans="1:20" ht="15.6">
      <c r="A307" s="16" t="s">
        <v>20</v>
      </c>
      <c r="B307" s="16" t="s">
        <v>21</v>
      </c>
      <c r="C307" s="16" t="s">
        <v>18</v>
      </c>
      <c r="D307" s="16" t="s">
        <v>22</v>
      </c>
      <c r="E307" s="16" t="s">
        <v>7</v>
      </c>
      <c r="F307" s="16" t="s">
        <v>13</v>
      </c>
      <c r="G307" s="16" t="s">
        <v>16</v>
      </c>
      <c r="H307" s="16" t="s">
        <v>23</v>
      </c>
      <c r="I307" s="16" t="s">
        <v>24</v>
      </c>
      <c r="J307" s="16" t="s">
        <v>25</v>
      </c>
      <c r="K307" s="16" t="s">
        <v>26</v>
      </c>
      <c r="L307" s="16" t="s">
        <v>27</v>
      </c>
      <c r="M307" s="16" t="s">
        <v>28</v>
      </c>
      <c r="N307" s="16" t="s">
        <v>11</v>
      </c>
      <c r="T307" s="115"/>
    </row>
    <row r="308" spans="1:20" ht="15.6">
      <c r="A308" t="s">
        <v>1826</v>
      </c>
      <c r="B308" s="115">
        <f t="shared" ref="B308:B318" si="33">P308</f>
        <v>1.6E-2</v>
      </c>
      <c r="C308" t="s">
        <v>609</v>
      </c>
      <c r="D308" s="109" t="s">
        <v>1754</v>
      </c>
      <c r="E308" t="s">
        <v>29</v>
      </c>
      <c r="F308" t="s">
        <v>14</v>
      </c>
      <c r="G308" t="s">
        <v>30</v>
      </c>
      <c r="H308">
        <v>1</v>
      </c>
      <c r="I308" s="115">
        <f t="shared" ref="I308:I309" si="34">B308</f>
        <v>1.6E-2</v>
      </c>
      <c r="J308" t="s">
        <v>31</v>
      </c>
      <c r="K308" t="s">
        <v>31</v>
      </c>
      <c r="L308" t="s">
        <v>31</v>
      </c>
      <c r="M308" t="s">
        <v>31</v>
      </c>
      <c r="P308" s="165">
        <v>1.6E-2</v>
      </c>
    </row>
    <row r="309" spans="1:20" ht="15.6">
      <c r="A309" t="s">
        <v>1828</v>
      </c>
      <c r="B309" s="115">
        <f t="shared" si="33"/>
        <v>1.6E-2</v>
      </c>
      <c r="C309" t="s">
        <v>609</v>
      </c>
      <c r="D309" s="109" t="s">
        <v>1754</v>
      </c>
      <c r="E309" t="s">
        <v>29</v>
      </c>
      <c r="F309" t="s">
        <v>14</v>
      </c>
      <c r="G309" t="s">
        <v>33</v>
      </c>
      <c r="H309">
        <v>1</v>
      </c>
      <c r="I309" s="115">
        <f t="shared" si="34"/>
        <v>1.6E-2</v>
      </c>
      <c r="J309" t="s">
        <v>31</v>
      </c>
      <c r="K309" t="s">
        <v>31</v>
      </c>
      <c r="L309" t="s">
        <v>31</v>
      </c>
      <c r="M309" t="s">
        <v>31</v>
      </c>
      <c r="P309" s="165">
        <v>1.6E-2</v>
      </c>
    </row>
    <row r="310" spans="1:20" ht="15.6">
      <c r="A310" s="76" t="s">
        <v>38</v>
      </c>
      <c r="B310" s="122">
        <f t="shared" si="33"/>
        <v>0.21</v>
      </c>
      <c r="C310" t="s">
        <v>39</v>
      </c>
      <c r="D310" s="17" t="s">
        <v>221</v>
      </c>
      <c r="E310" t="s">
        <v>29</v>
      </c>
      <c r="F310" s="74" t="s">
        <v>35</v>
      </c>
      <c r="G310" t="s">
        <v>33</v>
      </c>
      <c r="H310">
        <v>2</v>
      </c>
      <c r="I310">
        <f t="shared" ref="I310" si="35">LN(B310)</f>
        <v>-1.5606477482646683</v>
      </c>
      <c r="J310">
        <v>0.22500000000000006</v>
      </c>
      <c r="K310" t="s">
        <v>31</v>
      </c>
      <c r="L310" t="s">
        <v>31</v>
      </c>
      <c r="M310" t="s">
        <v>31</v>
      </c>
      <c r="O310" s="101" t="s">
        <v>248</v>
      </c>
      <c r="P310" s="138">
        <v>0.21</v>
      </c>
    </row>
    <row r="311" spans="1:20">
      <c r="A311" s="88" t="s">
        <v>680</v>
      </c>
      <c r="B311" s="115">
        <f t="shared" si="33"/>
        <v>9.4999999999999998E-3</v>
      </c>
      <c r="C311" t="s">
        <v>37</v>
      </c>
      <c r="D311" t="s">
        <v>221</v>
      </c>
      <c r="E311" t="s">
        <v>29</v>
      </c>
      <c r="F311" t="s">
        <v>35</v>
      </c>
      <c r="G311" t="s">
        <v>33</v>
      </c>
      <c r="H311">
        <v>2</v>
      </c>
      <c r="I311">
        <f>LN(B311)</f>
        <v>-4.656463480375642</v>
      </c>
      <c r="J311">
        <v>0.22500000000000006</v>
      </c>
      <c r="K311" t="s">
        <v>31</v>
      </c>
      <c r="L311" t="s">
        <v>31</v>
      </c>
      <c r="M311" t="s">
        <v>31</v>
      </c>
      <c r="O311" s="101" t="s">
        <v>241</v>
      </c>
      <c r="P311" s="151">
        <v>9.4999999999999998E-3</v>
      </c>
    </row>
    <row r="312" spans="1:20">
      <c r="A312" t="s">
        <v>957</v>
      </c>
      <c r="B312" s="115">
        <f t="shared" si="33"/>
        <v>2.07E-2</v>
      </c>
      <c r="C312" t="s">
        <v>37</v>
      </c>
      <c r="D312" t="s">
        <v>221</v>
      </c>
      <c r="E312" t="s">
        <v>29</v>
      </c>
      <c r="F312" t="s">
        <v>59</v>
      </c>
      <c r="G312" t="s">
        <v>33</v>
      </c>
      <c r="H312">
        <v>2</v>
      </c>
      <c r="I312">
        <f t="shared" ref="I312:I318" si="36">LN(B312)</f>
        <v>-3.8776215787108135</v>
      </c>
      <c r="J312">
        <v>0.22500000000000006</v>
      </c>
      <c r="K312" t="s">
        <v>31</v>
      </c>
      <c r="L312" t="s">
        <v>31</v>
      </c>
      <c r="M312" t="s">
        <v>31</v>
      </c>
      <c r="O312" s="101" t="s">
        <v>241</v>
      </c>
      <c r="P312" s="151">
        <v>2.07E-2</v>
      </c>
    </row>
    <row r="313" spans="1:20">
      <c r="A313" s="88" t="s">
        <v>545</v>
      </c>
      <c r="B313" s="115">
        <f t="shared" si="33"/>
        <v>9.4999999999999998E-3</v>
      </c>
      <c r="C313" t="s">
        <v>37</v>
      </c>
      <c r="D313" t="s">
        <v>221</v>
      </c>
      <c r="E313" t="s">
        <v>29</v>
      </c>
      <c r="F313" t="s">
        <v>35</v>
      </c>
      <c r="G313" t="s">
        <v>33</v>
      </c>
      <c r="H313">
        <v>2</v>
      </c>
      <c r="I313">
        <f t="shared" si="36"/>
        <v>-4.656463480375642</v>
      </c>
      <c r="J313">
        <v>0.22500000000000006</v>
      </c>
      <c r="K313" t="s">
        <v>31</v>
      </c>
      <c r="L313" t="s">
        <v>31</v>
      </c>
      <c r="M313" t="s">
        <v>31</v>
      </c>
      <c r="O313" s="101" t="s">
        <v>241</v>
      </c>
      <c r="P313" s="151">
        <v>9.4999999999999998E-3</v>
      </c>
    </row>
    <row r="314" spans="1:20">
      <c r="A314" s="88" t="s">
        <v>958</v>
      </c>
      <c r="B314" s="115">
        <f t="shared" si="33"/>
        <v>7.1999999999999998E-3</v>
      </c>
      <c r="C314" t="s">
        <v>37</v>
      </c>
      <c r="D314" t="s">
        <v>221</v>
      </c>
      <c r="E314" t="s">
        <v>29</v>
      </c>
      <c r="F314" t="s">
        <v>59</v>
      </c>
      <c r="G314" t="s">
        <v>33</v>
      </c>
      <c r="H314">
        <v>2</v>
      </c>
      <c r="I314">
        <f t="shared" si="36"/>
        <v>-4.9336742529601274</v>
      </c>
      <c r="J314">
        <v>0.22500000000000006</v>
      </c>
      <c r="K314" t="s">
        <v>31</v>
      </c>
      <c r="L314" t="s">
        <v>31</v>
      </c>
      <c r="M314" t="s">
        <v>31</v>
      </c>
      <c r="O314" s="101" t="s">
        <v>241</v>
      </c>
      <c r="P314" s="151">
        <v>7.1999999999999998E-3</v>
      </c>
    </row>
    <row r="315" spans="1:20">
      <c r="A315" s="88" t="s">
        <v>193</v>
      </c>
      <c r="B315" s="115">
        <f t="shared" si="33"/>
        <v>2.07E-2</v>
      </c>
      <c r="C315" t="s">
        <v>37</v>
      </c>
      <c r="D315" t="s">
        <v>221</v>
      </c>
      <c r="E315" t="s">
        <v>29</v>
      </c>
      <c r="F315" t="s">
        <v>59</v>
      </c>
      <c r="G315" t="s">
        <v>33</v>
      </c>
      <c r="H315">
        <v>2</v>
      </c>
      <c r="I315">
        <f t="shared" si="36"/>
        <v>-3.8776215787108135</v>
      </c>
      <c r="J315">
        <v>0.22500000000000006</v>
      </c>
      <c r="K315" t="s">
        <v>31</v>
      </c>
      <c r="L315" t="s">
        <v>31</v>
      </c>
      <c r="M315" t="s">
        <v>31</v>
      </c>
      <c r="O315" s="101" t="s">
        <v>241</v>
      </c>
      <c r="P315" s="151">
        <v>2.07E-2</v>
      </c>
    </row>
    <row r="316" spans="1:20" ht="15.6">
      <c r="A316" s="76" t="s">
        <v>799</v>
      </c>
      <c r="B316" s="115">
        <f t="shared" si="33"/>
        <v>0.38200000000000001</v>
      </c>
      <c r="C316" t="s">
        <v>37</v>
      </c>
      <c r="D316" s="17" t="s">
        <v>221</v>
      </c>
      <c r="E316" t="s">
        <v>29</v>
      </c>
      <c r="F316" s="74" t="s">
        <v>74</v>
      </c>
      <c r="G316" t="s">
        <v>33</v>
      </c>
      <c r="H316">
        <v>2</v>
      </c>
      <c r="I316">
        <f t="shared" si="36"/>
        <v>-0.96233467037556186</v>
      </c>
      <c r="J316">
        <v>0.22500000000000006</v>
      </c>
      <c r="K316" t="s">
        <v>31</v>
      </c>
      <c r="L316" t="s">
        <v>31</v>
      </c>
      <c r="M316" t="s">
        <v>31</v>
      </c>
      <c r="O316" s="101" t="s">
        <v>241</v>
      </c>
      <c r="P316" s="151">
        <v>0.38200000000000001</v>
      </c>
    </row>
    <row r="317" spans="1:20">
      <c r="A317" s="88" t="s">
        <v>758</v>
      </c>
      <c r="B317" s="115">
        <f t="shared" si="33"/>
        <v>3.7000000000000002E-3</v>
      </c>
      <c r="C317" t="s">
        <v>37</v>
      </c>
      <c r="D317" t="s">
        <v>43</v>
      </c>
      <c r="E317" t="s">
        <v>44</v>
      </c>
      <c r="F317" t="s">
        <v>29</v>
      </c>
      <c r="G317" t="s">
        <v>45</v>
      </c>
      <c r="H317">
        <v>2</v>
      </c>
      <c r="I317">
        <f t="shared" si="36"/>
        <v>-5.5994224593319579</v>
      </c>
      <c r="J317">
        <v>0.22500000000000006</v>
      </c>
      <c r="K317" t="s">
        <v>31</v>
      </c>
      <c r="L317" t="s">
        <v>31</v>
      </c>
      <c r="M317" t="s">
        <v>31</v>
      </c>
      <c r="O317" s="116" t="s">
        <v>241</v>
      </c>
      <c r="P317" s="175">
        <v>3.7000000000000002E-3</v>
      </c>
    </row>
    <row r="318" spans="1:20" ht="15.6">
      <c r="A318" s="17" t="s">
        <v>1657</v>
      </c>
      <c r="B318" s="115">
        <f t="shared" si="33"/>
        <v>6.8000000000000005E-2</v>
      </c>
      <c r="C318" t="s">
        <v>37</v>
      </c>
      <c r="D318" s="109" t="s">
        <v>1754</v>
      </c>
      <c r="E318" t="s">
        <v>29</v>
      </c>
      <c r="F318" s="74" t="s">
        <v>74</v>
      </c>
      <c r="G318" t="s">
        <v>33</v>
      </c>
      <c r="H318">
        <v>2</v>
      </c>
      <c r="I318">
        <f t="shared" si="36"/>
        <v>-2.6882475738060303</v>
      </c>
      <c r="J318">
        <v>0.22500000000000006</v>
      </c>
      <c r="K318" t="s">
        <v>31</v>
      </c>
      <c r="L318" t="s">
        <v>31</v>
      </c>
      <c r="M318" t="s">
        <v>31</v>
      </c>
      <c r="O318" s="118" t="s">
        <v>241</v>
      </c>
      <c r="P318" s="174">
        <v>6.8000000000000005E-2</v>
      </c>
    </row>
    <row r="319" spans="1:20" s="70" customFormat="1" ht="15.6">
      <c r="A319" s="67" t="s">
        <v>5</v>
      </c>
      <c r="B319" s="123" t="s">
        <v>1828</v>
      </c>
    </row>
    <row r="320" spans="1:20">
      <c r="A320" s="71" t="s">
        <v>7</v>
      </c>
      <c r="B320" t="s">
        <v>1654</v>
      </c>
      <c r="C320" s="72"/>
    </row>
    <row r="321" spans="1:20">
      <c r="A321" s="126" t="s">
        <v>9</v>
      </c>
      <c r="B321" t="s">
        <v>1829</v>
      </c>
      <c r="C321" s="72"/>
    </row>
    <row r="322" spans="1:20" ht="15.75" customHeight="1">
      <c r="A322" s="71" t="s">
        <v>11</v>
      </c>
      <c r="B322" s="73" t="s">
        <v>796</v>
      </c>
    </row>
    <row r="323" spans="1:20">
      <c r="A323" s="71" t="s">
        <v>13</v>
      </c>
      <c r="B323" t="s">
        <v>14</v>
      </c>
    </row>
    <row r="324" spans="1:20">
      <c r="A324" s="71" t="s">
        <v>15</v>
      </c>
      <c r="B324" s="115">
        <f>B329</f>
        <v>1.6E-2</v>
      </c>
    </row>
    <row r="325" spans="1:20">
      <c r="A325" s="71" t="s">
        <v>16</v>
      </c>
      <c r="B325" t="s">
        <v>17</v>
      </c>
    </row>
    <row r="326" spans="1:20">
      <c r="A326" s="71" t="s">
        <v>18</v>
      </c>
      <c r="B326" t="s">
        <v>609</v>
      </c>
    </row>
    <row r="327" spans="1:20" ht="15.6">
      <c r="A327" s="75" t="s">
        <v>19</v>
      </c>
    </row>
    <row r="328" spans="1:20" ht="15.6">
      <c r="A328" s="16" t="s">
        <v>20</v>
      </c>
      <c r="B328" s="16" t="s">
        <v>21</v>
      </c>
      <c r="C328" s="16" t="s">
        <v>18</v>
      </c>
      <c r="D328" s="16" t="s">
        <v>22</v>
      </c>
      <c r="E328" s="16" t="s">
        <v>7</v>
      </c>
      <c r="F328" s="16" t="s">
        <v>13</v>
      </c>
      <c r="G328" s="16" t="s">
        <v>16</v>
      </c>
      <c r="H328" s="16" t="s">
        <v>23</v>
      </c>
      <c r="I328" s="16" t="s">
        <v>24</v>
      </c>
      <c r="J328" s="16" t="s">
        <v>25</v>
      </c>
      <c r="K328" s="16" t="s">
        <v>26</v>
      </c>
      <c r="L328" s="16" t="s">
        <v>27</v>
      </c>
      <c r="M328" s="16" t="s">
        <v>28</v>
      </c>
      <c r="N328" s="16" t="s">
        <v>11</v>
      </c>
      <c r="T328" s="115"/>
    </row>
    <row r="329" spans="1:20" ht="15.6">
      <c r="A329" t="s">
        <v>1828</v>
      </c>
      <c r="B329" s="115">
        <f>P330</f>
        <v>1.6E-2</v>
      </c>
      <c r="C329" t="s">
        <v>609</v>
      </c>
      <c r="D329" s="109" t="s">
        <v>1754</v>
      </c>
      <c r="E329" t="s">
        <v>29</v>
      </c>
      <c r="F329" t="s">
        <v>14</v>
      </c>
      <c r="G329" t="s">
        <v>30</v>
      </c>
      <c r="H329">
        <v>1</v>
      </c>
      <c r="I329" s="115">
        <f t="shared" ref="I329:I331" si="37">B329</f>
        <v>1.6E-2</v>
      </c>
      <c r="J329" t="s">
        <v>31</v>
      </c>
      <c r="K329" t="s">
        <v>31</v>
      </c>
      <c r="L329" t="s">
        <v>31</v>
      </c>
      <c r="M329" t="s">
        <v>31</v>
      </c>
    </row>
    <row r="330" spans="1:20" ht="15.6">
      <c r="A330" s="59" t="s">
        <v>1830</v>
      </c>
      <c r="B330" s="115">
        <f>P330</f>
        <v>1.6E-2</v>
      </c>
      <c r="C330" t="s">
        <v>609</v>
      </c>
      <c r="D330" s="109" t="s">
        <v>1754</v>
      </c>
      <c r="E330" t="s">
        <v>29</v>
      </c>
      <c r="F330" t="s">
        <v>14</v>
      </c>
      <c r="G330" t="s">
        <v>33</v>
      </c>
      <c r="H330">
        <v>1</v>
      </c>
      <c r="I330" s="115">
        <f t="shared" si="37"/>
        <v>1.6E-2</v>
      </c>
      <c r="J330">
        <v>2.8722813232690055E-2</v>
      </c>
      <c r="K330" t="s">
        <v>31</v>
      </c>
      <c r="L330" t="s">
        <v>31</v>
      </c>
      <c r="M330" t="s">
        <v>31</v>
      </c>
      <c r="O330" s="92" t="s">
        <v>823</v>
      </c>
      <c r="P330" s="165">
        <v>1.6E-2</v>
      </c>
    </row>
    <row r="331" spans="1:20" ht="15.6">
      <c r="A331" s="59" t="s">
        <v>1772</v>
      </c>
      <c r="B331">
        <f>R331</f>
        <v>0.16600000000000001</v>
      </c>
      <c r="C331" t="s">
        <v>241</v>
      </c>
      <c r="D331" s="109" t="s">
        <v>1754</v>
      </c>
      <c r="E331" t="s">
        <v>29</v>
      </c>
      <c r="F331" t="s">
        <v>14</v>
      </c>
      <c r="G331" t="s">
        <v>33</v>
      </c>
      <c r="H331">
        <v>1</v>
      </c>
      <c r="I331" s="115">
        <f t="shared" si="37"/>
        <v>0.16600000000000001</v>
      </c>
      <c r="J331">
        <v>2.8722813232690055E-2</v>
      </c>
      <c r="K331" t="s">
        <v>31</v>
      </c>
      <c r="L331" t="s">
        <v>31</v>
      </c>
      <c r="M331" t="s">
        <v>31</v>
      </c>
      <c r="O331" s="92" t="s">
        <v>580</v>
      </c>
      <c r="P331" s="158">
        <v>166</v>
      </c>
      <c r="Q331" t="s">
        <v>241</v>
      </c>
      <c r="R331">
        <f>P331*0.001</f>
        <v>0.16600000000000001</v>
      </c>
    </row>
    <row r="332" spans="1:20" ht="15.6">
      <c r="A332" s="76" t="s">
        <v>38</v>
      </c>
      <c r="B332" s="122">
        <f>P332</f>
        <v>0.02</v>
      </c>
      <c r="C332" t="s">
        <v>39</v>
      </c>
      <c r="D332" s="17" t="s">
        <v>221</v>
      </c>
      <c r="E332" t="s">
        <v>29</v>
      </c>
      <c r="F332" s="74" t="s">
        <v>35</v>
      </c>
      <c r="G332" t="s">
        <v>33</v>
      </c>
      <c r="H332">
        <v>2</v>
      </c>
      <c r="I332">
        <f t="shared" ref="I332:I334" si="38">LN(B332)</f>
        <v>-3.912023005428146</v>
      </c>
      <c r="J332">
        <v>0.20928449536456342</v>
      </c>
      <c r="K332" t="s">
        <v>31</v>
      </c>
      <c r="L332" t="s">
        <v>31</v>
      </c>
      <c r="M332" t="s">
        <v>31</v>
      </c>
      <c r="O332" s="101" t="s">
        <v>248</v>
      </c>
      <c r="P332" s="151">
        <v>0.02</v>
      </c>
    </row>
    <row r="333" spans="1:20" ht="15.6">
      <c r="A333" s="76" t="s">
        <v>38</v>
      </c>
      <c r="B333" s="122">
        <f>P333</f>
        <v>0.94</v>
      </c>
      <c r="C333" t="s">
        <v>39</v>
      </c>
      <c r="D333" s="17" t="s">
        <v>221</v>
      </c>
      <c r="E333" t="s">
        <v>29</v>
      </c>
      <c r="F333" s="74" t="s">
        <v>35</v>
      </c>
      <c r="G333" t="s">
        <v>33</v>
      </c>
      <c r="H333">
        <v>2</v>
      </c>
      <c r="I333">
        <f t="shared" si="38"/>
        <v>-6.1875403718087529E-2</v>
      </c>
      <c r="J333">
        <v>0.20928449536456342</v>
      </c>
      <c r="K333" t="s">
        <v>31</v>
      </c>
      <c r="L333" t="s">
        <v>31</v>
      </c>
      <c r="M333" t="s">
        <v>31</v>
      </c>
      <c r="O333" s="101" t="s">
        <v>248</v>
      </c>
      <c r="P333" s="138">
        <v>0.94</v>
      </c>
    </row>
    <row r="334" spans="1:20" ht="15.6">
      <c r="A334" s="76" t="s">
        <v>38</v>
      </c>
      <c r="B334" s="122">
        <f>P334</f>
        <v>0.24</v>
      </c>
      <c r="C334" t="s">
        <v>39</v>
      </c>
      <c r="D334" s="17" t="s">
        <v>221</v>
      </c>
      <c r="E334" t="s">
        <v>29</v>
      </c>
      <c r="F334" s="74" t="s">
        <v>35</v>
      </c>
      <c r="G334" t="s">
        <v>33</v>
      </c>
      <c r="H334">
        <v>2</v>
      </c>
      <c r="I334">
        <f t="shared" si="38"/>
        <v>-1.4271163556401458</v>
      </c>
      <c r="J334">
        <v>9.6436507609929598E-2</v>
      </c>
      <c r="K334" t="s">
        <v>31</v>
      </c>
      <c r="L334" t="s">
        <v>31</v>
      </c>
      <c r="M334" t="s">
        <v>31</v>
      </c>
      <c r="O334" s="101" t="s">
        <v>248</v>
      </c>
      <c r="P334" s="138">
        <v>0.24</v>
      </c>
    </row>
    <row r="335" spans="1:20">
      <c r="A335" s="88" t="s">
        <v>680</v>
      </c>
      <c r="B335" s="115">
        <f>R335</f>
        <v>1E-3</v>
      </c>
      <c r="C335" t="s">
        <v>37</v>
      </c>
      <c r="D335" t="s">
        <v>221</v>
      </c>
      <c r="E335" t="s">
        <v>29</v>
      </c>
      <c r="F335" t="s">
        <v>35</v>
      </c>
      <c r="G335" t="s">
        <v>33</v>
      </c>
      <c r="H335">
        <v>2</v>
      </c>
      <c r="I335">
        <f>LN(B335)</f>
        <v>-6.9077552789821368</v>
      </c>
      <c r="J335">
        <v>0.20928449536456342</v>
      </c>
      <c r="K335" t="s">
        <v>31</v>
      </c>
      <c r="L335" t="s">
        <v>31</v>
      </c>
      <c r="M335" t="s">
        <v>31</v>
      </c>
      <c r="O335" s="101" t="s">
        <v>580</v>
      </c>
      <c r="P335" s="138">
        <v>1</v>
      </c>
      <c r="Q335" t="s">
        <v>241</v>
      </c>
      <c r="R335">
        <f>P335*0.001</f>
        <v>1E-3</v>
      </c>
    </row>
    <row r="336" spans="1:20" ht="15.6">
      <c r="A336" s="76" t="s">
        <v>799</v>
      </c>
      <c r="B336" s="115">
        <f>P336</f>
        <v>0.01</v>
      </c>
      <c r="C336" t="s">
        <v>37</v>
      </c>
      <c r="D336" s="17" t="s">
        <v>221</v>
      </c>
      <c r="E336" t="s">
        <v>29</v>
      </c>
      <c r="F336" s="74" t="s">
        <v>74</v>
      </c>
      <c r="G336" t="s">
        <v>33</v>
      </c>
      <c r="H336">
        <v>2</v>
      </c>
      <c r="I336">
        <f>LN(B336)</f>
        <v>-4.6051701859880909</v>
      </c>
      <c r="J336">
        <v>0.20928449536456342</v>
      </c>
      <c r="K336" t="s">
        <v>31</v>
      </c>
      <c r="L336" t="s">
        <v>31</v>
      </c>
      <c r="M336" t="s">
        <v>31</v>
      </c>
      <c r="O336" s="101" t="s">
        <v>241</v>
      </c>
      <c r="P336" s="151">
        <v>0.01</v>
      </c>
    </row>
    <row r="337" spans="1:20" ht="15.6">
      <c r="A337" s="88" t="s">
        <v>300</v>
      </c>
      <c r="B337" s="156">
        <f>R337</f>
        <v>2.3999999999999998E-3</v>
      </c>
      <c r="C337" t="s">
        <v>37</v>
      </c>
      <c r="D337" s="17" t="s">
        <v>221</v>
      </c>
      <c r="E337" t="s">
        <v>29</v>
      </c>
      <c r="F337" s="74" t="s">
        <v>82</v>
      </c>
      <c r="G337" t="s">
        <v>33</v>
      </c>
      <c r="H337">
        <v>2</v>
      </c>
      <c r="I337">
        <f>LN(B337)</f>
        <v>-6.0322865416282374</v>
      </c>
      <c r="J337">
        <v>0.20928449536456342</v>
      </c>
      <c r="K337" t="s">
        <v>31</v>
      </c>
      <c r="L337" t="s">
        <v>31</v>
      </c>
      <c r="M337" t="s">
        <v>31</v>
      </c>
      <c r="O337" s="101" t="s">
        <v>580</v>
      </c>
      <c r="P337" s="138">
        <v>2.4</v>
      </c>
      <c r="Q337" t="s">
        <v>241</v>
      </c>
      <c r="R337">
        <f>P337*0.001</f>
        <v>2.3999999999999998E-3</v>
      </c>
    </row>
    <row r="338" spans="1:20">
      <c r="A338" s="88" t="s">
        <v>545</v>
      </c>
      <c r="B338">
        <f>R338</f>
        <v>4.0000000000000001E-3</v>
      </c>
      <c r="C338" t="s">
        <v>37</v>
      </c>
      <c r="D338" t="s">
        <v>221</v>
      </c>
      <c r="E338" t="s">
        <v>29</v>
      </c>
      <c r="F338" t="s">
        <v>35</v>
      </c>
      <c r="G338" t="s">
        <v>33</v>
      </c>
      <c r="H338">
        <v>2</v>
      </c>
      <c r="I338">
        <f>LN(B338)</f>
        <v>-5.521460917862246</v>
      </c>
      <c r="J338">
        <v>0.20928449536456342</v>
      </c>
      <c r="K338" t="s">
        <v>31</v>
      </c>
      <c r="L338" t="s">
        <v>31</v>
      </c>
      <c r="M338" t="s">
        <v>31</v>
      </c>
      <c r="O338" s="101" t="s">
        <v>580</v>
      </c>
      <c r="P338" s="138">
        <v>4</v>
      </c>
      <c r="Q338" t="s">
        <v>241</v>
      </c>
      <c r="R338">
        <f>P338*0.001</f>
        <v>4.0000000000000001E-3</v>
      </c>
    </row>
    <row r="339" spans="1:20" ht="15.6">
      <c r="A339" s="76" t="s">
        <v>202</v>
      </c>
      <c r="B339">
        <f>P339</f>
        <v>2.8</v>
      </c>
      <c r="C339" t="s">
        <v>37</v>
      </c>
      <c r="D339" s="17" t="s">
        <v>221</v>
      </c>
      <c r="E339" t="s">
        <v>29</v>
      </c>
      <c r="F339" s="74" t="s">
        <v>35</v>
      </c>
      <c r="G339" t="s">
        <v>33</v>
      </c>
      <c r="H339">
        <v>2</v>
      </c>
      <c r="I339">
        <f t="shared" ref="I339:I340" si="39">LN(B339)</f>
        <v>1.0296194171811581</v>
      </c>
      <c r="J339">
        <v>0.20928449536456342</v>
      </c>
      <c r="K339" t="s">
        <v>31</v>
      </c>
      <c r="L339" t="s">
        <v>31</v>
      </c>
      <c r="M339" t="s">
        <v>31</v>
      </c>
      <c r="O339" s="101" t="s">
        <v>241</v>
      </c>
      <c r="P339" s="138">
        <v>2.8</v>
      </c>
    </row>
    <row r="340" spans="1:20" ht="15.6">
      <c r="A340" s="17" t="s">
        <v>1657</v>
      </c>
      <c r="B340" s="115">
        <f>P340</f>
        <v>8.0000000000000002E-3</v>
      </c>
      <c r="C340" t="s">
        <v>37</v>
      </c>
      <c r="D340" s="109" t="s">
        <v>1754</v>
      </c>
      <c r="E340" t="s">
        <v>29</v>
      </c>
      <c r="F340" s="74" t="s">
        <v>74</v>
      </c>
      <c r="G340" t="s">
        <v>33</v>
      </c>
      <c r="H340">
        <v>2</v>
      </c>
      <c r="I340">
        <f t="shared" si="39"/>
        <v>-4.8283137373023015</v>
      </c>
      <c r="J340">
        <v>0.20928449536456342</v>
      </c>
      <c r="K340" t="s">
        <v>31</v>
      </c>
      <c r="L340" t="s">
        <v>31</v>
      </c>
      <c r="M340" t="s">
        <v>31</v>
      </c>
      <c r="O340" s="118" t="s">
        <v>241</v>
      </c>
      <c r="P340" s="174">
        <v>8.0000000000000002E-3</v>
      </c>
    </row>
    <row r="341" spans="1:20" s="70" customFormat="1" ht="15.6">
      <c r="A341" s="67" t="s">
        <v>5</v>
      </c>
      <c r="B341" s="123" t="s">
        <v>1830</v>
      </c>
      <c r="P341" s="160"/>
    </row>
    <row r="342" spans="1:20">
      <c r="A342" s="71" t="s">
        <v>7</v>
      </c>
      <c r="B342" t="s">
        <v>1654</v>
      </c>
      <c r="C342" s="72"/>
    </row>
    <row r="343" spans="1:20">
      <c r="A343" s="126" t="s">
        <v>9</v>
      </c>
      <c r="B343" t="s">
        <v>1831</v>
      </c>
      <c r="C343" s="72"/>
    </row>
    <row r="344" spans="1:20" ht="15.75" customHeight="1">
      <c r="A344" s="71" t="s">
        <v>11</v>
      </c>
      <c r="B344" s="73" t="s">
        <v>796</v>
      </c>
    </row>
    <row r="345" spans="1:20">
      <c r="A345" s="71" t="s">
        <v>13</v>
      </c>
      <c r="B345" t="s">
        <v>14</v>
      </c>
    </row>
    <row r="346" spans="1:20">
      <c r="A346" s="71" t="s">
        <v>15</v>
      </c>
      <c r="B346" s="115">
        <f>B351</f>
        <v>1.6E-2</v>
      </c>
    </row>
    <row r="347" spans="1:20">
      <c r="A347" s="71" t="s">
        <v>16</v>
      </c>
      <c r="B347" t="s">
        <v>17</v>
      </c>
    </row>
    <row r="348" spans="1:20">
      <c r="A348" s="71" t="s">
        <v>18</v>
      </c>
      <c r="B348" t="s">
        <v>609</v>
      </c>
    </row>
    <row r="349" spans="1:20" ht="15.6">
      <c r="A349" s="75" t="s">
        <v>19</v>
      </c>
    </row>
    <row r="350" spans="1:20" ht="15.6">
      <c r="A350" s="16" t="s">
        <v>20</v>
      </c>
      <c r="B350" s="16" t="s">
        <v>21</v>
      </c>
      <c r="C350" s="16" t="s">
        <v>18</v>
      </c>
      <c r="D350" s="16" t="s">
        <v>22</v>
      </c>
      <c r="E350" s="16" t="s">
        <v>7</v>
      </c>
      <c r="F350" s="16" t="s">
        <v>13</v>
      </c>
      <c r="G350" s="16" t="s">
        <v>16</v>
      </c>
      <c r="H350" s="16" t="s">
        <v>23</v>
      </c>
      <c r="I350" s="16" t="s">
        <v>24</v>
      </c>
      <c r="J350" s="16" t="s">
        <v>25</v>
      </c>
      <c r="K350" s="16" t="s">
        <v>26</v>
      </c>
      <c r="L350" s="16" t="s">
        <v>27</v>
      </c>
      <c r="M350" s="16" t="s">
        <v>28</v>
      </c>
      <c r="N350" s="16" t="s">
        <v>11</v>
      </c>
      <c r="T350" s="115"/>
    </row>
    <row r="351" spans="1:20" ht="15.6">
      <c r="A351" s="59" t="s">
        <v>1830</v>
      </c>
      <c r="B351" s="115">
        <f>P351</f>
        <v>1.6E-2</v>
      </c>
      <c r="C351" t="s">
        <v>609</v>
      </c>
      <c r="D351" s="109" t="s">
        <v>1754</v>
      </c>
      <c r="E351" t="s">
        <v>29</v>
      </c>
      <c r="F351" t="s">
        <v>14</v>
      </c>
      <c r="G351" t="s">
        <v>30</v>
      </c>
      <c r="H351">
        <v>1</v>
      </c>
      <c r="I351" s="115">
        <f>B351</f>
        <v>1.6E-2</v>
      </c>
      <c r="J351" t="s">
        <v>31</v>
      </c>
      <c r="K351" t="s">
        <v>31</v>
      </c>
      <c r="L351" t="s">
        <v>31</v>
      </c>
      <c r="M351" t="s">
        <v>31</v>
      </c>
      <c r="O351" s="92" t="s">
        <v>823</v>
      </c>
      <c r="P351" s="160">
        <v>1.6E-2</v>
      </c>
    </row>
    <row r="352" spans="1:20">
      <c r="A352" s="88" t="s">
        <v>848</v>
      </c>
      <c r="B352">
        <f>P352</f>
        <v>0.03</v>
      </c>
      <c r="C352" t="s">
        <v>37</v>
      </c>
      <c r="D352" t="s">
        <v>221</v>
      </c>
      <c r="E352" t="s">
        <v>29</v>
      </c>
      <c r="F352" t="s">
        <v>82</v>
      </c>
      <c r="G352" t="s">
        <v>33</v>
      </c>
      <c r="H352">
        <v>2</v>
      </c>
      <c r="I352">
        <f t="shared" ref="I352:I362" si="40">LN(B352)</f>
        <v>-3.5065578973199818</v>
      </c>
      <c r="J352" s="113">
        <v>0.22516660498395411</v>
      </c>
      <c r="K352" t="s">
        <v>31</v>
      </c>
      <c r="L352" t="s">
        <v>31</v>
      </c>
      <c r="M352" t="s">
        <v>31</v>
      </c>
      <c r="O352" s="101" t="s">
        <v>241</v>
      </c>
      <c r="P352" s="138">
        <v>0.03</v>
      </c>
    </row>
    <row r="353" spans="1:18" ht="15.6">
      <c r="A353" s="76" t="s">
        <v>38</v>
      </c>
      <c r="B353" s="122">
        <f>P353</f>
        <v>0.33</v>
      </c>
      <c r="C353" t="s">
        <v>39</v>
      </c>
      <c r="D353" s="17" t="s">
        <v>221</v>
      </c>
      <c r="E353" t="s">
        <v>29</v>
      </c>
      <c r="F353" s="74" t="s">
        <v>35</v>
      </c>
      <c r="G353" t="s">
        <v>33</v>
      </c>
      <c r="H353">
        <v>2</v>
      </c>
      <c r="I353">
        <f t="shared" si="40"/>
        <v>-1.1086626245216111</v>
      </c>
      <c r="J353" s="113">
        <v>0.22516660498395411</v>
      </c>
      <c r="K353" t="s">
        <v>31</v>
      </c>
      <c r="L353" t="s">
        <v>31</v>
      </c>
      <c r="M353" t="s">
        <v>31</v>
      </c>
      <c r="O353" s="101" t="s">
        <v>248</v>
      </c>
      <c r="P353" s="138">
        <v>0.33</v>
      </c>
    </row>
    <row r="354" spans="1:18" ht="15.6">
      <c r="A354" s="88" t="s">
        <v>962</v>
      </c>
      <c r="B354" s="115">
        <f>R354</f>
        <v>5.6000000000000006E-4</v>
      </c>
      <c r="C354" t="s">
        <v>37</v>
      </c>
      <c r="D354" s="17" t="s">
        <v>221</v>
      </c>
      <c r="E354" t="s">
        <v>29</v>
      </c>
      <c r="F354" t="s">
        <v>35</v>
      </c>
      <c r="G354" t="s">
        <v>33</v>
      </c>
      <c r="H354">
        <v>2</v>
      </c>
      <c r="I354">
        <f t="shared" si="40"/>
        <v>-7.487573774235079</v>
      </c>
      <c r="J354" s="113">
        <v>0.22516660498395411</v>
      </c>
      <c r="K354" t="s">
        <v>31</v>
      </c>
      <c r="L354" t="s">
        <v>31</v>
      </c>
      <c r="M354" t="s">
        <v>31</v>
      </c>
      <c r="O354" s="101" t="s">
        <v>580</v>
      </c>
      <c r="P354" s="151">
        <v>0.56000000000000005</v>
      </c>
      <c r="Q354" t="s">
        <v>241</v>
      </c>
      <c r="R354" s="115">
        <f>0.001*P354</f>
        <v>5.6000000000000006E-4</v>
      </c>
    </row>
    <row r="355" spans="1:18" ht="15.6">
      <c r="A355" s="88" t="s">
        <v>963</v>
      </c>
      <c r="B355" s="115">
        <f>P355</f>
        <v>2.7000000000000001E-3</v>
      </c>
      <c r="C355" t="s">
        <v>37</v>
      </c>
      <c r="D355" s="17" t="s">
        <v>221</v>
      </c>
      <c r="E355" t="s">
        <v>29</v>
      </c>
      <c r="F355" t="s">
        <v>35</v>
      </c>
      <c r="G355" t="s">
        <v>33</v>
      </c>
      <c r="H355">
        <v>2</v>
      </c>
      <c r="I355">
        <f t="shared" si="40"/>
        <v>-5.9145035059718536</v>
      </c>
      <c r="J355" s="113">
        <v>0.22516660498395411</v>
      </c>
      <c r="K355" t="s">
        <v>31</v>
      </c>
      <c r="L355" t="s">
        <v>31</v>
      </c>
      <c r="M355" t="s">
        <v>31</v>
      </c>
      <c r="O355" s="101" t="s">
        <v>241</v>
      </c>
      <c r="P355" s="151">
        <v>2.7000000000000001E-3</v>
      </c>
    </row>
    <row r="356" spans="1:18" ht="15.6">
      <c r="A356" s="88" t="s">
        <v>964</v>
      </c>
      <c r="B356" s="115">
        <f>P356</f>
        <v>2.2000000000000001E-3</v>
      </c>
      <c r="C356" t="s">
        <v>37</v>
      </c>
      <c r="D356" s="17" t="s">
        <v>221</v>
      </c>
      <c r="E356" t="s">
        <v>29</v>
      </c>
      <c r="F356" t="s">
        <v>35</v>
      </c>
      <c r="G356" t="s">
        <v>33</v>
      </c>
      <c r="H356">
        <v>2</v>
      </c>
      <c r="I356">
        <f t="shared" si="40"/>
        <v>-6.1192979186178666</v>
      </c>
      <c r="J356" s="113">
        <v>0.22516660498395411</v>
      </c>
      <c r="K356" t="s">
        <v>31</v>
      </c>
      <c r="L356" t="s">
        <v>31</v>
      </c>
      <c r="M356" t="s">
        <v>31</v>
      </c>
      <c r="O356" s="101" t="s">
        <v>241</v>
      </c>
      <c r="P356" s="151">
        <v>2.2000000000000001E-3</v>
      </c>
    </row>
    <row r="357" spans="1:18" ht="15.6">
      <c r="A357" s="88" t="s">
        <v>191</v>
      </c>
      <c r="B357" s="115">
        <f>P357</f>
        <v>1.9E-2</v>
      </c>
      <c r="C357" t="s">
        <v>37</v>
      </c>
      <c r="D357" s="17" t="s">
        <v>221</v>
      </c>
      <c r="E357" t="s">
        <v>29</v>
      </c>
      <c r="F357" t="s">
        <v>35</v>
      </c>
      <c r="G357" t="s">
        <v>33</v>
      </c>
      <c r="H357">
        <v>2</v>
      </c>
      <c r="I357">
        <f t="shared" si="40"/>
        <v>-3.9633162998156966</v>
      </c>
      <c r="J357" s="113">
        <v>0.22516660498395411</v>
      </c>
      <c r="K357" t="s">
        <v>31</v>
      </c>
      <c r="L357" t="s">
        <v>31</v>
      </c>
      <c r="M357" t="s">
        <v>31</v>
      </c>
      <c r="O357" s="101" t="s">
        <v>241</v>
      </c>
      <c r="P357" s="138">
        <v>1.9E-2</v>
      </c>
    </row>
    <row r="358" spans="1:18" ht="15.6">
      <c r="A358" s="88" t="s">
        <v>965</v>
      </c>
      <c r="B358" s="115">
        <f>R358</f>
        <v>1.1E-4</v>
      </c>
      <c r="C358" t="s">
        <v>37</v>
      </c>
      <c r="D358" s="17" t="s">
        <v>43</v>
      </c>
      <c r="E358" t="s">
        <v>44</v>
      </c>
      <c r="F358" t="s">
        <v>29</v>
      </c>
      <c r="G358" t="s">
        <v>45</v>
      </c>
      <c r="H358">
        <v>2</v>
      </c>
      <c r="I358">
        <f t="shared" si="40"/>
        <v>-9.1150301921718579</v>
      </c>
      <c r="J358" s="113">
        <v>0.10344080432788608</v>
      </c>
      <c r="K358" t="s">
        <v>31</v>
      </c>
      <c r="L358" t="s">
        <v>31</v>
      </c>
      <c r="M358" t="s">
        <v>31</v>
      </c>
      <c r="O358" s="116" t="s">
        <v>580</v>
      </c>
      <c r="P358" s="175">
        <v>0.11</v>
      </c>
      <c r="Q358" t="s">
        <v>241</v>
      </c>
      <c r="R358" s="115">
        <f>0.001*P358</f>
        <v>1.1E-4</v>
      </c>
    </row>
    <row r="359" spans="1:18" ht="15.6">
      <c r="A359" s="88" t="s">
        <v>77</v>
      </c>
      <c r="B359" s="115">
        <f t="shared" ref="B359:B361" si="41">R359</f>
        <v>1E-3</v>
      </c>
      <c r="C359" t="s">
        <v>37</v>
      </c>
      <c r="D359" s="17" t="s">
        <v>43</v>
      </c>
      <c r="E359" t="s">
        <v>44</v>
      </c>
      <c r="F359" t="s">
        <v>29</v>
      </c>
      <c r="G359" t="s">
        <v>45</v>
      </c>
      <c r="H359">
        <v>2</v>
      </c>
      <c r="I359">
        <f t="shared" si="40"/>
        <v>-6.9077552789821368</v>
      </c>
      <c r="J359" s="113">
        <v>0.10344080432788608</v>
      </c>
      <c r="K359" t="s">
        <v>31</v>
      </c>
      <c r="L359" t="s">
        <v>31</v>
      </c>
      <c r="M359" t="s">
        <v>31</v>
      </c>
      <c r="O359" s="116" t="s">
        <v>580</v>
      </c>
      <c r="P359" s="175">
        <v>1</v>
      </c>
      <c r="Q359" t="s">
        <v>241</v>
      </c>
      <c r="R359" s="115">
        <f>0.001*P359</f>
        <v>1E-3</v>
      </c>
    </row>
    <row r="360" spans="1:18" ht="15.6">
      <c r="A360" s="88" t="s">
        <v>966</v>
      </c>
      <c r="B360" s="115">
        <f t="shared" si="41"/>
        <v>7.8000000000000009E-4</v>
      </c>
      <c r="C360" t="s">
        <v>37</v>
      </c>
      <c r="D360" s="17" t="s">
        <v>43</v>
      </c>
      <c r="E360" t="s">
        <v>44</v>
      </c>
      <c r="F360" t="s">
        <v>29</v>
      </c>
      <c r="G360" t="s">
        <v>45</v>
      </c>
      <c r="H360">
        <v>2</v>
      </c>
      <c r="I360">
        <f t="shared" si="40"/>
        <v>-7.1562166382806369</v>
      </c>
      <c r="J360" s="113">
        <v>0.10344080432788608</v>
      </c>
      <c r="K360" t="s">
        <v>31</v>
      </c>
      <c r="L360" t="s">
        <v>31</v>
      </c>
      <c r="M360" t="s">
        <v>31</v>
      </c>
      <c r="O360" s="116" t="s">
        <v>580</v>
      </c>
      <c r="P360" s="175">
        <v>0.78</v>
      </c>
      <c r="Q360" t="s">
        <v>241</v>
      </c>
      <c r="R360" s="115">
        <f>0.001*P360</f>
        <v>7.8000000000000009E-4</v>
      </c>
    </row>
    <row r="361" spans="1:18">
      <c r="A361" s="88" t="s">
        <v>758</v>
      </c>
      <c r="B361" s="115">
        <f t="shared" si="41"/>
        <v>4.5000000000000004E-4</v>
      </c>
      <c r="C361" t="s">
        <v>37</v>
      </c>
      <c r="D361" t="s">
        <v>43</v>
      </c>
      <c r="E361" t="s">
        <v>44</v>
      </c>
      <c r="F361" t="s">
        <v>29</v>
      </c>
      <c r="G361" t="s">
        <v>45</v>
      </c>
      <c r="H361">
        <v>2</v>
      </c>
      <c r="I361">
        <f t="shared" si="40"/>
        <v>-7.706262975199909</v>
      </c>
      <c r="J361" s="113">
        <v>0.10344080432788608</v>
      </c>
      <c r="K361" t="s">
        <v>31</v>
      </c>
      <c r="L361" t="s">
        <v>31</v>
      </c>
      <c r="M361" t="s">
        <v>31</v>
      </c>
      <c r="O361" s="116" t="s">
        <v>580</v>
      </c>
      <c r="P361" s="175">
        <v>0.45</v>
      </c>
      <c r="Q361" t="s">
        <v>241</v>
      </c>
      <c r="R361" s="115">
        <f>0.001*P361</f>
        <v>4.5000000000000004E-4</v>
      </c>
    </row>
    <row r="362" spans="1:18" ht="15.6">
      <c r="A362" s="17" t="s">
        <v>1659</v>
      </c>
      <c r="B362" s="115">
        <f>P362</f>
        <v>6.0000000000000001E-3</v>
      </c>
      <c r="C362" t="s">
        <v>37</v>
      </c>
      <c r="D362" s="109" t="s">
        <v>1754</v>
      </c>
      <c r="E362" t="s">
        <v>29</v>
      </c>
      <c r="F362" s="74" t="s">
        <v>74</v>
      </c>
      <c r="G362" t="s">
        <v>33</v>
      </c>
      <c r="H362">
        <v>2</v>
      </c>
      <c r="I362">
        <f t="shared" si="40"/>
        <v>-5.1159958097540823</v>
      </c>
      <c r="J362">
        <v>0.11269427669584645</v>
      </c>
      <c r="K362" t="s">
        <v>31</v>
      </c>
      <c r="L362" t="s">
        <v>31</v>
      </c>
      <c r="M362" t="s">
        <v>31</v>
      </c>
      <c r="O362" s="118" t="s">
        <v>241</v>
      </c>
      <c r="P362" s="174">
        <v>6.0000000000000001E-3</v>
      </c>
    </row>
    <row r="363" spans="1:18">
      <c r="P363" s="160"/>
    </row>
  </sheetData>
  <pageMargins left="0.7" right="0.7" top="0.75" bottom="0.75" header="0.3" footer="0.3"/>
  <pageSetup paperSize="9" orientation="portrai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2060E-DEE6-459F-8B81-1D8CBB3614EA}">
  <dimension ref="A1:P18"/>
  <sheetViews>
    <sheetView zoomScale="85" zoomScaleNormal="85" workbookViewId="0">
      <selection activeCell="A2" sqref="A2:XFD3"/>
    </sheetView>
  </sheetViews>
  <sheetFormatPr defaultRowHeight="14.45"/>
  <cols>
    <col min="1" max="1" width="57.28515625" bestFit="1" customWidth="1"/>
    <col min="5" max="5" width="13.42578125" bestFit="1" customWidth="1"/>
    <col min="6" max="6" width="39.140625" bestFit="1" customWidth="1"/>
  </cols>
  <sheetData>
    <row r="1" spans="1:16" s="22" customFormat="1">
      <c r="A1" s="22" t="s">
        <v>0</v>
      </c>
      <c r="B1" s="22">
        <v>14</v>
      </c>
    </row>
    <row r="2" spans="1:16" s="70" customFormat="1" ht="15.6">
      <c r="A2" s="178" t="s">
        <v>5</v>
      </c>
      <c r="B2" s="178" t="s">
        <v>57</v>
      </c>
      <c r="C2" s="178"/>
      <c r="D2" s="69"/>
      <c r="E2" s="144"/>
      <c r="F2" s="144"/>
      <c r="G2" s="144"/>
      <c r="H2" s="144"/>
      <c r="I2" s="144"/>
      <c r="J2" s="144"/>
      <c r="K2" s="144"/>
      <c r="L2" s="144"/>
      <c r="M2" s="144"/>
      <c r="N2" s="144"/>
      <c r="O2" s="144"/>
      <c r="P2" s="144"/>
    </row>
    <row r="3" spans="1:16">
      <c r="A3" s="59" t="s">
        <v>7</v>
      </c>
      <c r="B3" s="59" t="s">
        <v>58</v>
      </c>
      <c r="C3" s="59"/>
      <c r="D3" s="59"/>
      <c r="E3" s="59"/>
      <c r="F3" s="59"/>
      <c r="G3" s="59"/>
      <c r="H3" s="59"/>
      <c r="I3" s="59"/>
      <c r="J3" s="59"/>
      <c r="K3" s="59"/>
      <c r="L3" s="59"/>
      <c r="M3" s="59"/>
      <c r="N3" s="59"/>
      <c r="O3" s="59"/>
      <c r="P3" s="59"/>
    </row>
    <row r="4" spans="1:16">
      <c r="A4" s="59" t="s">
        <v>9</v>
      </c>
      <c r="B4" s="186" t="s">
        <v>1832</v>
      </c>
      <c r="C4" s="59"/>
      <c r="D4" s="59"/>
      <c r="E4" s="59"/>
      <c r="F4" s="59"/>
      <c r="G4" s="59"/>
      <c r="H4" s="59"/>
      <c r="I4" s="59"/>
      <c r="J4" s="59"/>
      <c r="K4" s="59"/>
      <c r="L4" s="59"/>
      <c r="M4" s="59"/>
      <c r="N4" s="59"/>
      <c r="O4" s="59"/>
      <c r="P4" s="59"/>
    </row>
    <row r="5" spans="1:16">
      <c r="A5" s="59" t="s">
        <v>11</v>
      </c>
      <c r="B5" s="59" t="s">
        <v>1833</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ht="15.6">
      <c r="A9" s="59" t="s">
        <v>18</v>
      </c>
      <c r="B9" s="180" t="s">
        <v>18</v>
      </c>
      <c r="C9" s="59"/>
      <c r="D9" s="59"/>
      <c r="E9" s="59" t="s">
        <v>235</v>
      </c>
      <c r="F9" s="59"/>
      <c r="G9" s="59"/>
      <c r="H9" s="59"/>
      <c r="I9" s="59"/>
      <c r="J9" s="59"/>
      <c r="K9" s="59"/>
      <c r="L9" s="59"/>
      <c r="M9" s="59"/>
      <c r="N9" s="59"/>
      <c r="O9" s="59"/>
      <c r="P9" s="59"/>
    </row>
    <row r="10" spans="1:16" ht="15.6">
      <c r="A10" s="181" t="s">
        <v>19</v>
      </c>
      <c r="B10" s="59"/>
      <c r="C10" s="59"/>
      <c r="D10" s="59"/>
      <c r="E10" s="59"/>
      <c r="F10" s="59"/>
      <c r="G10" s="59"/>
      <c r="H10" s="59"/>
      <c r="I10" s="59"/>
      <c r="J10" s="59"/>
      <c r="K10" s="59"/>
      <c r="L10" s="59"/>
      <c r="M10" s="59"/>
      <c r="N10" s="59"/>
      <c r="O10" s="59"/>
      <c r="P10" s="59"/>
    </row>
    <row r="11" spans="1:16"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6">
      <c r="A12" s="180" t="str">
        <f>B2</f>
        <v>Decommissioning of aircraft, PEMFC-bat, Long-Term</v>
      </c>
      <c r="B12" s="180">
        <v>1</v>
      </c>
      <c r="C12" s="180"/>
      <c r="D12" s="180" t="s">
        <v>18</v>
      </c>
      <c r="E12" s="59" t="s">
        <v>2</v>
      </c>
      <c r="F12" s="59" t="s">
        <v>58</v>
      </c>
      <c r="G12" s="180" t="s">
        <v>59</v>
      </c>
      <c r="H12" s="59" t="s">
        <v>30</v>
      </c>
      <c r="I12" s="59">
        <v>0</v>
      </c>
      <c r="J12" s="180" t="s">
        <v>31</v>
      </c>
      <c r="K12" s="180" t="s">
        <v>31</v>
      </c>
      <c r="L12" s="180" t="s">
        <v>31</v>
      </c>
      <c r="M12" s="180" t="s">
        <v>31</v>
      </c>
      <c r="N12" s="180" t="s">
        <v>31</v>
      </c>
      <c r="O12" s="180"/>
      <c r="P12" s="59"/>
    </row>
    <row r="13" spans="1:16">
      <c r="A13" t="str">
        <f>'Power elec EoL LCI'!A67</f>
        <v>treatment of power electronics, EoL power electronics, PEMFC-bat, Long-Term</v>
      </c>
      <c r="B13">
        <f>'Power elec EoL LCI'!B67</f>
        <v>1</v>
      </c>
      <c r="D13" t="str">
        <f>'Power elec EoL LCI'!D67</f>
        <v>unit</v>
      </c>
      <c r="E13" t="str">
        <f>'Power elec EoL LCI'!E67</f>
        <v>GENESIS_2050_PEMFC-bat_Base</v>
      </c>
      <c r="F13" t="str">
        <f>'Power elec EoL LCI'!F67</f>
        <v>EoL power electronics, PEMFC-bat, Long-Term</v>
      </c>
      <c r="G13" t="str">
        <f>'Power elec EoL LCI'!G67</f>
        <v>GLO</v>
      </c>
      <c r="H13" t="s">
        <v>33</v>
      </c>
      <c r="I13">
        <f>'Power elec EoL LCI'!I67</f>
        <v>0</v>
      </c>
      <c r="J13" t="str">
        <f>'Power elec EoL LCI'!J67</f>
        <v>(Unknown)</v>
      </c>
      <c r="K13" t="str">
        <f>'Power elec EoL LCI'!K67</f>
        <v>(Unknown)</v>
      </c>
      <c r="L13" t="str">
        <f>'Power elec EoL LCI'!L67</f>
        <v>(Unknown)</v>
      </c>
      <c r="M13" t="str">
        <f>'Power elec EoL LCI'!M67</f>
        <v>(Unknown)</v>
      </c>
      <c r="N13" t="str">
        <f>'Power elec EoL LCI'!N67</f>
        <v>(Unknown)</v>
      </c>
    </row>
    <row r="14" spans="1:16">
      <c r="A14" t="str">
        <f>'motors and drives EoL LCI'!A84</f>
        <v>treatment of motors and drives, PEMFC-bat, Long-Term</v>
      </c>
      <c r="B14">
        <f>'motors and drives EoL LCI'!B84</f>
        <v>1</v>
      </c>
      <c r="D14" t="str">
        <f>'motors and drives EoL LCI'!D84</f>
        <v>unit</v>
      </c>
      <c r="E14" t="str">
        <f>'motors and drives EoL LCI'!E84</f>
        <v>GENESIS_2050_PEMFC-bat_Base</v>
      </c>
      <c r="F14" t="str">
        <f>'motors and drives EoL LCI'!F84</f>
        <v>motors and drives, PEMFC-bat, Long-Term</v>
      </c>
      <c r="G14" t="str">
        <f>'motors and drives EoL LCI'!G84</f>
        <v>GLO</v>
      </c>
      <c r="H14" t="s">
        <v>33</v>
      </c>
      <c r="I14">
        <f>'motors and drives EoL LCI'!I84</f>
        <v>0</v>
      </c>
      <c r="J14" t="str">
        <f>'motors and drives EoL LCI'!J84</f>
        <v>(Unknown)</v>
      </c>
      <c r="K14" t="str">
        <f>'motors and drives EoL LCI'!K84</f>
        <v>(Unknown)</v>
      </c>
      <c r="L14" t="str">
        <f>'motors and drives EoL LCI'!L84</f>
        <v>(Unknown)</v>
      </c>
      <c r="M14" t="str">
        <f>'motors and drives EoL LCI'!M84</f>
        <v>(Unknown)</v>
      </c>
      <c r="N14" t="str">
        <f>'motors and drives EoL LCI'!N84</f>
        <v>(Unknown)</v>
      </c>
    </row>
    <row r="15" spans="1:16">
      <c r="A15" t="str">
        <f>'powerplant EoL LCI'!A125</f>
        <v>treatment of powerplant, PEMFC-bat, Long-Term</v>
      </c>
      <c r="B15">
        <f>'powerplant EoL LCI'!B125</f>
        <v>1</v>
      </c>
      <c r="D15" t="str">
        <f>'powerplant EoL LCI'!D125</f>
        <v>unit</v>
      </c>
      <c r="E15" t="str">
        <f>'powerplant EoL LCI'!E125</f>
        <v>GENESIS_2050_PEMFC-bat_Base</v>
      </c>
      <c r="F15" t="str">
        <f>'powerplant EoL LCI'!F125</f>
        <v>powerplant EoL, PEMFC-bat, Long-Term</v>
      </c>
      <c r="G15" t="str">
        <f>'powerplant EoL LCI'!G125</f>
        <v>GLO</v>
      </c>
      <c r="H15" t="s">
        <v>33</v>
      </c>
      <c r="I15">
        <f>'powerplant EoL LCI'!I125</f>
        <v>0</v>
      </c>
      <c r="J15" t="str">
        <f>'powerplant EoL LCI'!J125</f>
        <v>(Unknown)</v>
      </c>
      <c r="K15" t="str">
        <f>'powerplant EoL LCI'!K125</f>
        <v>(Unknown)</v>
      </c>
      <c r="L15" t="str">
        <f>'powerplant EoL LCI'!L125</f>
        <v>(Unknown)</v>
      </c>
      <c r="M15" t="str">
        <f>'powerplant EoL LCI'!M125</f>
        <v>(Unknown)</v>
      </c>
      <c r="N15" t="str">
        <f>'powerplant EoL LCI'!N125</f>
        <v>(Unknown)</v>
      </c>
    </row>
    <row r="16" spans="1:16">
      <c r="A16" t="str">
        <f>'airframe EoL LCI'!A242</f>
        <v>treatment of airframe , PEMFC-bat, Long-Term</v>
      </c>
      <c r="B16">
        <f>'airframe EoL LCI'!B242</f>
        <v>1</v>
      </c>
      <c r="D16" t="str">
        <f>'airframe EoL LCI'!D242</f>
        <v>unit</v>
      </c>
      <c r="E16" t="str">
        <f>'airframe EoL LCI'!E242</f>
        <v>GENESIS_2050_PEMFC-bat_Base</v>
      </c>
      <c r="F16" t="str">
        <f>'airframe EoL LCI'!F242</f>
        <v>airframe EoL, PEMFC-bat, Long-Term</v>
      </c>
      <c r="G16" t="str">
        <f>'airframe EoL LCI'!G242</f>
        <v>GLO</v>
      </c>
      <c r="H16" t="s">
        <v>33</v>
      </c>
      <c r="I16">
        <f>'airframe EoL LCI'!I242</f>
        <v>0</v>
      </c>
      <c r="J16" t="str">
        <f>'airframe EoL LCI'!J242</f>
        <v>(Unknown)</v>
      </c>
      <c r="K16" t="str">
        <f>'airframe EoL LCI'!K242</f>
        <v>(Unknown)</v>
      </c>
      <c r="L16" t="str">
        <f>'airframe EoL LCI'!L242</f>
        <v>(Unknown)</v>
      </c>
      <c r="M16" t="str">
        <f>'airframe EoL LCI'!M242</f>
        <v>(Unknown)</v>
      </c>
      <c r="N16" t="str">
        <f>'airframe EoL LCI'!N242</f>
        <v>(Unknown)</v>
      </c>
    </row>
    <row r="17" spans="1:15">
      <c r="A17" t="str">
        <f>'H2 storage EoL'!A54</f>
        <v>treatment of H2 storage on-board</v>
      </c>
      <c r="B17">
        <v>4</v>
      </c>
      <c r="D17" t="s">
        <v>18</v>
      </c>
      <c r="E17" t="s">
        <v>2</v>
      </c>
      <c r="F17" s="59" t="s">
        <v>1834</v>
      </c>
      <c r="G17" t="s">
        <v>59</v>
      </c>
      <c r="H17" t="s">
        <v>33</v>
      </c>
      <c r="I17">
        <f>'airframe EoL LCI'!I243</f>
        <v>0</v>
      </c>
      <c r="J17" t="str">
        <f>'airframe EoL LCI'!J243</f>
        <v>(Unknown)</v>
      </c>
      <c r="K17" t="str">
        <f>'airframe EoL LCI'!K243</f>
        <v>(Unknown)</v>
      </c>
      <c r="L17" t="str">
        <f>'airframe EoL LCI'!L243</f>
        <v>(Unknown)</v>
      </c>
      <c r="M17" t="str">
        <f>'airframe EoL LCI'!M243</f>
        <v>(Unknown)</v>
      </c>
      <c r="N17" t="str">
        <f>'airframe EoL LCI'!N243</f>
        <v>(Unknown)</v>
      </c>
    </row>
    <row r="18" spans="1:15" ht="15.6">
      <c r="A18" s="180" t="str">
        <f>'PEMFC EoL'!A91</f>
        <v>treatment of PEMFC cell ,PEMFC EoL, PEMFC-bat, Long-Term</v>
      </c>
      <c r="B18">
        <v>2</v>
      </c>
      <c r="D18" t="s">
        <v>18</v>
      </c>
      <c r="E18" t="s">
        <v>2</v>
      </c>
      <c r="F18" s="59" t="s">
        <v>1834</v>
      </c>
      <c r="G18" t="s">
        <v>59</v>
      </c>
      <c r="H18" t="s">
        <v>33</v>
      </c>
      <c r="I18">
        <f>'airframe EoL LCI'!I244</f>
        <v>0</v>
      </c>
      <c r="J18" t="str">
        <f>'airframe EoL LCI'!J244</f>
        <v>(Unknown)</v>
      </c>
      <c r="K18" t="str">
        <f>'airframe EoL LCI'!K244</f>
        <v>(Unknown)</v>
      </c>
      <c r="L18" t="str">
        <f>'airframe EoL LCI'!L244</f>
        <v>(Unknown)</v>
      </c>
      <c r="M18" t="str">
        <f>'airframe EoL LCI'!M244</f>
        <v>(Unknown)</v>
      </c>
      <c r="N18" t="str">
        <f>'airframe EoL LCI'!N244</f>
        <v>(Unknown)</v>
      </c>
      <c r="O18" t="s">
        <v>1835</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183D7-4AA2-453C-B55A-EB891274A4FD}">
  <sheetPr>
    <tabColor theme="9"/>
  </sheetPr>
  <dimension ref="A1:P72"/>
  <sheetViews>
    <sheetView zoomScale="85" zoomScaleNormal="85" workbookViewId="0">
      <selection activeCell="A59" sqref="A59"/>
    </sheetView>
  </sheetViews>
  <sheetFormatPr defaultRowHeight="14.4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185" customFormat="1" ht="15.6">
      <c r="A2" s="182" t="s">
        <v>5</v>
      </c>
      <c r="B2" s="182" t="s">
        <v>1836</v>
      </c>
      <c r="C2" s="182"/>
      <c r="D2" s="183"/>
      <c r="E2" s="184"/>
      <c r="F2" s="184"/>
      <c r="G2" s="184"/>
      <c r="H2" s="184"/>
      <c r="I2" s="184"/>
      <c r="J2" s="184"/>
      <c r="K2" s="184"/>
      <c r="L2" s="184"/>
      <c r="M2" s="184"/>
      <c r="N2" s="184"/>
      <c r="O2" s="184"/>
      <c r="P2" s="184"/>
    </row>
    <row r="3" spans="1:16">
      <c r="A3" s="59" t="s">
        <v>7</v>
      </c>
      <c r="B3" s="59" t="s">
        <v>1837</v>
      </c>
      <c r="C3" s="59"/>
      <c r="D3" s="59"/>
      <c r="E3" s="59"/>
      <c r="F3" s="59"/>
      <c r="G3" s="59"/>
      <c r="H3" s="59"/>
      <c r="I3" s="59"/>
      <c r="J3" s="59"/>
      <c r="K3" s="59"/>
      <c r="L3" s="59"/>
      <c r="M3" s="59"/>
      <c r="N3" s="59"/>
      <c r="O3" s="59"/>
      <c r="P3" s="59"/>
    </row>
    <row r="4" spans="1:16">
      <c r="A4" s="59" t="s">
        <v>9</v>
      </c>
      <c r="B4" s="201" t="s">
        <v>1838</v>
      </c>
      <c r="C4" s="59"/>
      <c r="D4" s="59"/>
      <c r="E4" s="59"/>
      <c r="F4" s="59"/>
      <c r="G4" s="59"/>
      <c r="H4" s="59"/>
      <c r="I4" s="59"/>
      <c r="J4" s="59"/>
      <c r="K4" s="59"/>
      <c r="L4" s="59"/>
      <c r="M4" s="59"/>
      <c r="N4" s="59"/>
      <c r="O4" s="59"/>
      <c r="P4" s="59"/>
    </row>
    <row r="5" spans="1:16">
      <c r="A5" s="59" t="s">
        <v>11</v>
      </c>
      <c r="B5" s="59" t="s">
        <v>1561</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c r="A9" s="59" t="s">
        <v>18</v>
      </c>
      <c r="B9" s="59" t="s">
        <v>18</v>
      </c>
      <c r="C9" s="59"/>
      <c r="D9" s="59"/>
      <c r="E9" s="59" t="s">
        <v>235</v>
      </c>
      <c r="F9" s="59"/>
      <c r="G9" s="59"/>
      <c r="H9" s="59"/>
      <c r="I9" s="59"/>
      <c r="J9" s="59"/>
      <c r="K9" s="59"/>
      <c r="L9" s="59"/>
      <c r="M9" s="59"/>
      <c r="N9" s="59"/>
      <c r="O9" s="59"/>
      <c r="P9" s="59"/>
    </row>
    <row r="10" spans="1:16" ht="15.6">
      <c r="A10" s="181" t="s">
        <v>19</v>
      </c>
      <c r="B10" s="59"/>
      <c r="C10" s="59"/>
      <c r="D10" s="59"/>
      <c r="E10" s="59"/>
      <c r="F10" s="59"/>
      <c r="G10" s="59"/>
      <c r="H10" s="59"/>
      <c r="I10" s="59"/>
      <c r="J10" s="59"/>
      <c r="K10" s="59"/>
      <c r="L10" s="59"/>
      <c r="M10" s="59"/>
      <c r="N10" s="59"/>
      <c r="O10" s="59"/>
      <c r="P10" s="59"/>
    </row>
    <row r="11" spans="1:16"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6">
      <c r="A12" s="180" t="s">
        <v>1836</v>
      </c>
      <c r="B12" s="180">
        <v>1</v>
      </c>
      <c r="C12" s="180"/>
      <c r="D12" s="180" t="s">
        <v>18</v>
      </c>
      <c r="E12" s="59" t="s">
        <v>2</v>
      </c>
      <c r="F12" s="59" t="s">
        <v>1839</v>
      </c>
      <c r="G12" s="180" t="s">
        <v>59</v>
      </c>
      <c r="H12" s="59" t="s">
        <v>30</v>
      </c>
      <c r="I12" s="59">
        <v>0</v>
      </c>
      <c r="J12" s="180" t="s">
        <v>31</v>
      </c>
      <c r="K12" s="180" t="s">
        <v>31</v>
      </c>
      <c r="L12" s="180" t="s">
        <v>31</v>
      </c>
      <c r="M12" s="180" t="s">
        <v>31</v>
      </c>
      <c r="N12" s="180" t="s">
        <v>31</v>
      </c>
      <c r="O12" s="59"/>
      <c r="P12" s="59"/>
    </row>
    <row r="13" spans="1:16" ht="15.6">
      <c r="A13" t="s">
        <v>395</v>
      </c>
      <c r="B13" s="23">
        <f>-0.7407</f>
        <v>-0.74070000000000003</v>
      </c>
      <c r="C13" s="180"/>
      <c r="D13" s="180" t="s">
        <v>37</v>
      </c>
      <c r="E13" s="88" t="s">
        <v>40</v>
      </c>
      <c r="F13" s="59" t="s">
        <v>1839</v>
      </c>
      <c r="G13" s="180" t="s">
        <v>82</v>
      </c>
      <c r="H13" s="59" t="s">
        <v>33</v>
      </c>
      <c r="I13" s="59">
        <v>0</v>
      </c>
      <c r="J13" s="180" t="s">
        <v>31</v>
      </c>
      <c r="K13" s="180" t="s">
        <v>31</v>
      </c>
      <c r="L13" s="180" t="s">
        <v>31</v>
      </c>
      <c r="M13" s="180" t="s">
        <v>31</v>
      </c>
      <c r="N13" s="180" t="s">
        <v>31</v>
      </c>
      <c r="O13" s="59" t="s">
        <v>1562</v>
      </c>
      <c r="P13" s="59" t="s">
        <v>1563</v>
      </c>
    </row>
    <row r="14" spans="1:16" s="185" customFormat="1" ht="15.6">
      <c r="A14" s="182" t="s">
        <v>5</v>
      </c>
      <c r="B14" s="182" t="s">
        <v>1840</v>
      </c>
      <c r="C14" s="182"/>
      <c r="D14" s="183"/>
      <c r="E14" s="184"/>
      <c r="F14" s="184"/>
      <c r="G14" s="184"/>
      <c r="H14" s="184"/>
      <c r="I14" s="184"/>
      <c r="J14" s="184"/>
      <c r="K14" s="184"/>
      <c r="L14" s="184"/>
      <c r="M14" s="184"/>
      <c r="N14" s="184"/>
      <c r="O14" s="184"/>
      <c r="P14" s="184"/>
    </row>
    <row r="15" spans="1:16">
      <c r="A15" s="59" t="s">
        <v>7</v>
      </c>
      <c r="B15" s="59" t="s">
        <v>1837</v>
      </c>
      <c r="C15" s="59"/>
      <c r="D15" s="59"/>
      <c r="E15" s="59"/>
      <c r="F15" s="59"/>
      <c r="G15" s="59"/>
      <c r="H15" s="59"/>
      <c r="I15" s="59"/>
      <c r="J15" s="59"/>
      <c r="K15" s="59"/>
      <c r="L15" s="59"/>
      <c r="M15" s="59"/>
      <c r="N15" s="59"/>
      <c r="O15" s="59"/>
      <c r="P15" s="59"/>
    </row>
    <row r="16" spans="1:16">
      <c r="A16" s="59" t="s">
        <v>9</v>
      </c>
      <c r="B16" s="201" t="s">
        <v>1841</v>
      </c>
      <c r="C16" s="59"/>
      <c r="D16" s="59"/>
      <c r="E16" s="59"/>
      <c r="F16" s="59"/>
      <c r="G16" s="59"/>
      <c r="H16" s="59"/>
      <c r="I16" s="59"/>
      <c r="J16" s="59"/>
      <c r="K16" s="59"/>
      <c r="L16" s="59"/>
      <c r="M16" s="59"/>
      <c r="N16" s="59"/>
      <c r="O16" s="59"/>
      <c r="P16" s="59"/>
    </row>
    <row r="17" spans="1:16">
      <c r="A17" s="59" t="s">
        <v>11</v>
      </c>
      <c r="B17" s="201" t="s">
        <v>1566</v>
      </c>
      <c r="C17" s="59"/>
      <c r="D17" s="59"/>
      <c r="E17" s="59"/>
      <c r="F17" s="59"/>
      <c r="G17" s="59"/>
      <c r="H17" s="59"/>
      <c r="I17" s="59"/>
      <c r="J17" s="59"/>
      <c r="K17" s="59"/>
      <c r="L17" s="59"/>
      <c r="M17" s="59"/>
      <c r="N17" s="59"/>
      <c r="O17" s="59"/>
      <c r="P17" s="59"/>
    </row>
    <row r="18" spans="1:16">
      <c r="A18" s="59" t="s">
        <v>13</v>
      </c>
      <c r="B18" s="59" t="s">
        <v>59</v>
      </c>
      <c r="C18" s="59"/>
      <c r="D18" s="59"/>
      <c r="E18" s="59"/>
      <c r="F18" s="59"/>
      <c r="G18" s="59"/>
      <c r="H18" s="59"/>
      <c r="I18" s="59"/>
      <c r="J18" s="59"/>
      <c r="K18" s="59"/>
      <c r="L18" s="59"/>
      <c r="M18" s="59"/>
      <c r="N18" s="59"/>
      <c r="O18" s="59"/>
      <c r="P18" s="59"/>
    </row>
    <row r="19" spans="1:16">
      <c r="A19" s="59" t="s">
        <v>15</v>
      </c>
      <c r="B19" s="59">
        <v>1</v>
      </c>
      <c r="C19" s="59"/>
      <c r="D19" s="59"/>
      <c r="E19" s="59"/>
      <c r="F19" s="59"/>
      <c r="G19" s="59"/>
      <c r="H19" s="59"/>
      <c r="I19" s="59"/>
      <c r="J19" s="59"/>
      <c r="K19" s="59"/>
      <c r="L19" s="59"/>
      <c r="M19" s="59"/>
      <c r="N19" s="59"/>
      <c r="O19" s="59"/>
      <c r="P19" s="59"/>
    </row>
    <row r="20" spans="1:16">
      <c r="A20" s="59" t="s">
        <v>16</v>
      </c>
      <c r="B20" s="59" t="s">
        <v>17</v>
      </c>
      <c r="C20" s="59"/>
      <c r="D20" s="59"/>
      <c r="E20" s="59"/>
      <c r="F20" s="59"/>
      <c r="G20" s="59"/>
      <c r="H20" s="59"/>
      <c r="I20" s="59"/>
      <c r="J20" s="59"/>
      <c r="K20" s="59"/>
      <c r="L20" s="59"/>
      <c r="M20" s="59"/>
      <c r="N20" s="59"/>
      <c r="O20" s="59"/>
      <c r="P20" s="59"/>
    </row>
    <row r="21" spans="1:16">
      <c r="A21" s="59" t="s">
        <v>18</v>
      </c>
      <c r="B21" s="59" t="s">
        <v>18</v>
      </c>
      <c r="C21" s="59"/>
      <c r="D21" s="59"/>
      <c r="E21" s="59" t="s">
        <v>235</v>
      </c>
      <c r="F21" s="59"/>
      <c r="G21" s="59"/>
      <c r="H21" s="59"/>
      <c r="I21" s="59"/>
      <c r="J21" s="59"/>
      <c r="K21" s="59"/>
      <c r="L21" s="59"/>
      <c r="M21" s="59"/>
      <c r="N21" s="59"/>
      <c r="O21" s="59"/>
      <c r="P21" s="59"/>
    </row>
    <row r="22" spans="1:16" ht="15.6">
      <c r="A22" s="181" t="s">
        <v>19</v>
      </c>
      <c r="B22" s="59"/>
      <c r="C22" s="59"/>
      <c r="D22" s="59"/>
      <c r="E22" s="59"/>
      <c r="F22" s="59"/>
      <c r="G22" s="59"/>
      <c r="H22" s="59"/>
      <c r="I22" s="59"/>
      <c r="J22" s="59"/>
      <c r="K22" s="59"/>
      <c r="L22" s="59"/>
      <c r="M22" s="59"/>
      <c r="N22" s="59"/>
      <c r="O22" s="59"/>
      <c r="P22" s="59"/>
    </row>
    <row r="23" spans="1:16" ht="15.6">
      <c r="A23" s="181" t="s">
        <v>20</v>
      </c>
      <c r="B23" s="181" t="s">
        <v>21</v>
      </c>
      <c r="C23" s="181" t="s">
        <v>217</v>
      </c>
      <c r="D23" s="181" t="s">
        <v>18</v>
      </c>
      <c r="E23" s="181" t="s">
        <v>22</v>
      </c>
      <c r="F23" s="181" t="s">
        <v>7</v>
      </c>
      <c r="G23" s="181" t="s">
        <v>13</v>
      </c>
      <c r="H23" s="181" t="s">
        <v>16</v>
      </c>
      <c r="I23" s="181" t="s">
        <v>23</v>
      </c>
      <c r="J23" s="181" t="s">
        <v>24</v>
      </c>
      <c r="K23" s="181" t="s">
        <v>25</v>
      </c>
      <c r="L23" s="181" t="s">
        <v>26</v>
      </c>
      <c r="M23" s="181" t="s">
        <v>27</v>
      </c>
      <c r="N23" s="181" t="s">
        <v>28</v>
      </c>
      <c r="O23" s="181" t="s">
        <v>11</v>
      </c>
      <c r="P23" s="181" t="s">
        <v>702</v>
      </c>
    </row>
    <row r="24" spans="1:16" ht="15.6">
      <c r="A24" s="180" t="s">
        <v>1840</v>
      </c>
      <c r="B24" s="180">
        <v>1</v>
      </c>
      <c r="C24" s="180"/>
      <c r="D24" s="180" t="s">
        <v>18</v>
      </c>
      <c r="E24" s="59" t="s">
        <v>2</v>
      </c>
      <c r="F24" s="59" t="s">
        <v>1839</v>
      </c>
      <c r="G24" s="180" t="s">
        <v>59</v>
      </c>
      <c r="H24" s="59" t="s">
        <v>30</v>
      </c>
      <c r="I24" s="59">
        <v>0</v>
      </c>
      <c r="J24" s="180" t="s">
        <v>31</v>
      </c>
      <c r="K24" s="180" t="s">
        <v>31</v>
      </c>
      <c r="L24" s="180" t="s">
        <v>31</v>
      </c>
      <c r="M24" s="180" t="s">
        <v>31</v>
      </c>
      <c r="N24" s="180" t="s">
        <v>31</v>
      </c>
      <c r="O24" s="59" t="s">
        <v>1567</v>
      </c>
      <c r="P24" s="59"/>
    </row>
    <row r="25" spans="1:16" ht="15.6">
      <c r="A25" t="s">
        <v>263</v>
      </c>
      <c r="B25" s="202">
        <v>33.148399999999995</v>
      </c>
      <c r="C25" s="180"/>
      <c r="D25" s="180" t="s">
        <v>37</v>
      </c>
      <c r="E25" s="37" t="s">
        <v>40</v>
      </c>
      <c r="F25" s="59" t="s">
        <v>1839</v>
      </c>
      <c r="G25" t="s">
        <v>82</v>
      </c>
      <c r="H25" s="59" t="s">
        <v>33</v>
      </c>
      <c r="I25" s="59">
        <v>0</v>
      </c>
      <c r="J25" s="180" t="s">
        <v>31</v>
      </c>
      <c r="K25" s="180" t="s">
        <v>31</v>
      </c>
      <c r="L25" s="180" t="s">
        <v>31</v>
      </c>
      <c r="M25" s="180" t="s">
        <v>31</v>
      </c>
      <c r="N25" s="180" t="s">
        <v>31</v>
      </c>
      <c r="O25" s="59"/>
      <c r="P25" s="59"/>
    </row>
    <row r="26" spans="1:16" ht="15.6">
      <c r="A26" t="s">
        <v>265</v>
      </c>
      <c r="B26" s="202">
        <v>33.148399999999995</v>
      </c>
      <c r="C26" s="22" t="s">
        <v>266</v>
      </c>
      <c r="D26" t="s">
        <v>37</v>
      </c>
      <c r="E26" s="188" t="s">
        <v>40</v>
      </c>
      <c r="F26" s="59" t="s">
        <v>1839</v>
      </c>
      <c r="G26" t="s">
        <v>82</v>
      </c>
      <c r="H26" s="59" t="s">
        <v>33</v>
      </c>
      <c r="I26" s="59">
        <v>0</v>
      </c>
      <c r="J26" s="180" t="s">
        <v>31</v>
      </c>
      <c r="K26" s="180" t="s">
        <v>31</v>
      </c>
      <c r="L26" s="180" t="s">
        <v>31</v>
      </c>
      <c r="M26" s="180" t="s">
        <v>31</v>
      </c>
      <c r="N26" s="180" t="s">
        <v>31</v>
      </c>
      <c r="O26" t="s">
        <v>401</v>
      </c>
    </row>
    <row r="27" spans="1:16" ht="15.6">
      <c r="A27" t="s">
        <v>347</v>
      </c>
      <c r="B27">
        <f>B26*0.9</f>
        <v>29.833559999999995</v>
      </c>
      <c r="D27" t="s">
        <v>37</v>
      </c>
      <c r="E27" s="188" t="s">
        <v>40</v>
      </c>
      <c r="F27" s="59" t="s">
        <v>1839</v>
      </c>
      <c r="G27" t="s">
        <v>59</v>
      </c>
      <c r="H27" s="59" t="s">
        <v>136</v>
      </c>
      <c r="I27" s="59">
        <v>0</v>
      </c>
      <c r="J27" s="180" t="s">
        <v>31</v>
      </c>
      <c r="K27" s="180" t="s">
        <v>31</v>
      </c>
      <c r="L27" s="180" t="s">
        <v>31</v>
      </c>
      <c r="M27" s="180" t="s">
        <v>31</v>
      </c>
      <c r="N27" s="180" t="s">
        <v>31</v>
      </c>
      <c r="O27" s="59" t="s">
        <v>1373</v>
      </c>
    </row>
    <row r="28" spans="1:16" ht="15.6">
      <c r="A28" t="s">
        <v>442</v>
      </c>
      <c r="B28" s="202">
        <v>22.906500000000001</v>
      </c>
      <c r="C28" t="s">
        <v>443</v>
      </c>
      <c r="D28" t="s">
        <v>37</v>
      </c>
      <c r="E28" s="188" t="s">
        <v>40</v>
      </c>
      <c r="F28" s="59" t="s">
        <v>1839</v>
      </c>
      <c r="G28" t="s">
        <v>82</v>
      </c>
      <c r="H28" t="s">
        <v>33</v>
      </c>
      <c r="I28" s="59">
        <v>0</v>
      </c>
      <c r="J28" s="180" t="s">
        <v>31</v>
      </c>
      <c r="K28" s="180" t="s">
        <v>31</v>
      </c>
      <c r="L28" s="180" t="s">
        <v>31</v>
      </c>
      <c r="M28" s="180" t="s">
        <v>31</v>
      </c>
      <c r="N28" s="180" t="s">
        <v>31</v>
      </c>
    </row>
    <row r="29" spans="1:16" ht="15.6">
      <c r="A29" t="s">
        <v>1372</v>
      </c>
      <c r="B29">
        <f>0.9*B28</f>
        <v>20.615850000000002</v>
      </c>
      <c r="D29" t="s">
        <v>37</v>
      </c>
      <c r="E29" s="188" t="s">
        <v>40</v>
      </c>
      <c r="F29" s="59" t="s">
        <v>1839</v>
      </c>
      <c r="G29" t="s">
        <v>59</v>
      </c>
      <c r="H29" t="s">
        <v>136</v>
      </c>
      <c r="I29" s="59">
        <v>0</v>
      </c>
      <c r="J29" s="180" t="s">
        <v>31</v>
      </c>
      <c r="K29" s="180" t="s">
        <v>31</v>
      </c>
      <c r="L29" s="180" t="s">
        <v>31</v>
      </c>
      <c r="M29" s="180" t="s">
        <v>31</v>
      </c>
      <c r="N29" s="180" t="s">
        <v>31</v>
      </c>
      <c r="O29" s="59" t="s">
        <v>1373</v>
      </c>
    </row>
    <row r="30" spans="1:16" ht="16.5" customHeight="1">
      <c r="A30" t="s">
        <v>403</v>
      </c>
      <c r="B30" s="203">
        <f>-((B28-B29)+(B26-B27)+5.0651)</f>
        <v>-10.670590000000001</v>
      </c>
      <c r="D30" t="s">
        <v>37</v>
      </c>
      <c r="E30" s="88" t="s">
        <v>40</v>
      </c>
      <c r="F30" s="59" t="s">
        <v>1839</v>
      </c>
      <c r="G30" t="s">
        <v>59</v>
      </c>
      <c r="H30" t="s">
        <v>33</v>
      </c>
      <c r="I30">
        <v>0</v>
      </c>
      <c r="J30" t="s">
        <v>31</v>
      </c>
      <c r="K30" t="s">
        <v>31</v>
      </c>
      <c r="L30" t="s">
        <v>31</v>
      </c>
      <c r="M30" t="s">
        <v>31</v>
      </c>
      <c r="N30" t="s">
        <v>31</v>
      </c>
      <c r="O30" s="17" t="s">
        <v>1568</v>
      </c>
    </row>
    <row r="31" spans="1:16" s="185" customFormat="1" ht="15.6">
      <c r="A31" s="182" t="s">
        <v>5</v>
      </c>
      <c r="B31" s="182" t="s">
        <v>1842</v>
      </c>
      <c r="C31" s="182"/>
      <c r="D31" s="183"/>
      <c r="E31" s="184"/>
      <c r="F31" s="184"/>
      <c r="G31" s="184"/>
      <c r="H31" s="184"/>
      <c r="I31" s="184"/>
      <c r="J31" s="184"/>
      <c r="K31" s="184"/>
      <c r="L31" s="184"/>
      <c r="M31" s="184"/>
      <c r="N31" s="184"/>
      <c r="O31" s="184"/>
      <c r="P31" s="184"/>
    </row>
    <row r="32" spans="1:16">
      <c r="A32" s="59" t="s">
        <v>7</v>
      </c>
      <c r="B32" s="59" t="s">
        <v>1837</v>
      </c>
      <c r="C32" s="59"/>
      <c r="D32" s="59"/>
      <c r="E32" s="59"/>
      <c r="F32" s="59"/>
      <c r="G32" s="59"/>
      <c r="H32" s="59"/>
      <c r="I32" s="59"/>
      <c r="J32" s="59"/>
      <c r="K32" s="59"/>
      <c r="L32" s="59"/>
      <c r="M32" s="59"/>
      <c r="N32" s="59"/>
      <c r="O32" s="59"/>
      <c r="P32" s="59"/>
    </row>
    <row r="33" spans="1:16">
      <c r="A33" s="59" t="s">
        <v>9</v>
      </c>
      <c r="B33" s="201" t="s">
        <v>1843</v>
      </c>
      <c r="C33" s="59"/>
      <c r="D33" s="59"/>
      <c r="E33" s="59"/>
      <c r="F33" s="59"/>
      <c r="G33" s="59"/>
      <c r="H33" s="59"/>
      <c r="I33" s="59"/>
      <c r="J33" s="59"/>
      <c r="K33" s="59"/>
      <c r="L33" s="59"/>
      <c r="M33" s="59"/>
      <c r="N33" s="59"/>
      <c r="O33" s="59"/>
      <c r="P33" s="59"/>
    </row>
    <row r="34" spans="1:16">
      <c r="A34" s="59" t="s">
        <v>11</v>
      </c>
      <c r="B34" s="59" t="s">
        <v>1571</v>
      </c>
      <c r="C34" s="59"/>
      <c r="D34" s="59"/>
      <c r="E34" s="59"/>
      <c r="F34" s="59"/>
      <c r="G34" s="59"/>
      <c r="H34" s="59"/>
      <c r="I34" s="59"/>
      <c r="J34" s="59"/>
      <c r="K34" s="59"/>
      <c r="L34" s="59"/>
      <c r="M34" s="59"/>
      <c r="N34" s="59"/>
      <c r="O34" s="59"/>
      <c r="P34" s="59"/>
    </row>
    <row r="35" spans="1:16">
      <c r="A35" s="59" t="s">
        <v>13</v>
      </c>
      <c r="B35" s="59" t="s">
        <v>59</v>
      </c>
      <c r="C35" s="59"/>
      <c r="D35" s="59"/>
      <c r="E35" s="59"/>
      <c r="F35" s="59"/>
      <c r="G35" s="59"/>
      <c r="H35" s="59"/>
      <c r="I35" s="59"/>
      <c r="J35" s="59"/>
      <c r="K35" s="59"/>
      <c r="L35" s="59"/>
      <c r="M35" s="59"/>
      <c r="N35" s="59"/>
      <c r="O35" s="59"/>
      <c r="P35" s="59"/>
    </row>
    <row r="36" spans="1:16">
      <c r="A36" s="59" t="s">
        <v>15</v>
      </c>
      <c r="B36" s="59">
        <v>1</v>
      </c>
      <c r="C36" s="59"/>
      <c r="D36" s="59"/>
      <c r="E36" s="59"/>
      <c r="F36" s="59"/>
      <c r="G36" s="59"/>
      <c r="H36" s="59"/>
      <c r="I36" s="59"/>
      <c r="J36" s="59"/>
      <c r="K36" s="59"/>
      <c r="L36" s="59"/>
      <c r="M36" s="59"/>
      <c r="N36" s="59"/>
      <c r="O36" s="59"/>
      <c r="P36" s="59"/>
    </row>
    <row r="37" spans="1:16">
      <c r="A37" s="59" t="s">
        <v>16</v>
      </c>
      <c r="B37" s="59" t="s">
        <v>17</v>
      </c>
      <c r="C37" s="59"/>
      <c r="D37" s="59"/>
      <c r="E37" s="59"/>
      <c r="F37" s="59"/>
      <c r="G37" s="59"/>
      <c r="H37" s="59"/>
      <c r="I37" s="59"/>
      <c r="J37" s="59"/>
      <c r="K37" s="59"/>
      <c r="L37" s="59"/>
      <c r="M37" s="59"/>
      <c r="N37" s="59"/>
      <c r="O37" s="59"/>
      <c r="P37" s="59"/>
    </row>
    <row r="38" spans="1:16">
      <c r="A38" s="59" t="s">
        <v>18</v>
      </c>
      <c r="B38" s="59" t="s">
        <v>18</v>
      </c>
      <c r="C38" s="59"/>
      <c r="D38" s="59"/>
      <c r="E38" s="59" t="s">
        <v>235</v>
      </c>
      <c r="F38" s="59"/>
      <c r="G38" s="59"/>
      <c r="H38" s="59"/>
      <c r="I38" s="59"/>
      <c r="J38" s="59"/>
      <c r="K38" s="59"/>
      <c r="L38" s="59"/>
      <c r="M38" s="59"/>
      <c r="N38" s="59"/>
      <c r="O38" s="59"/>
      <c r="P38" s="59"/>
    </row>
    <row r="39" spans="1:16" ht="15.6">
      <c r="A39" s="181" t="s">
        <v>19</v>
      </c>
      <c r="B39" s="59"/>
      <c r="C39" s="59"/>
      <c r="D39" s="59"/>
      <c r="E39" s="59"/>
      <c r="F39" s="59"/>
      <c r="G39" s="59"/>
      <c r="H39" s="59"/>
      <c r="I39" s="59"/>
      <c r="J39" s="59"/>
      <c r="K39" s="59"/>
      <c r="L39" s="59"/>
      <c r="M39" s="59"/>
      <c r="N39" s="59"/>
      <c r="O39" s="59"/>
      <c r="P39" s="59"/>
    </row>
    <row r="40" spans="1:16" ht="15.6">
      <c r="A40" s="181" t="s">
        <v>20</v>
      </c>
      <c r="B40" s="181" t="s">
        <v>21</v>
      </c>
      <c r="C40" s="181" t="s">
        <v>217</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702</v>
      </c>
    </row>
    <row r="41" spans="1:16" ht="15.6">
      <c r="A41" s="180" t="s">
        <v>1842</v>
      </c>
      <c r="B41" s="180">
        <v>1</v>
      </c>
      <c r="C41" s="180"/>
      <c r="D41" s="180" t="s">
        <v>18</v>
      </c>
      <c r="E41" s="59" t="s">
        <v>2</v>
      </c>
      <c r="F41" s="59" t="s">
        <v>1839</v>
      </c>
      <c r="G41" s="180" t="s">
        <v>59</v>
      </c>
      <c r="H41" s="59" t="s">
        <v>30</v>
      </c>
      <c r="I41" s="59">
        <v>0</v>
      </c>
      <c r="J41" s="180" t="s">
        <v>31</v>
      </c>
      <c r="K41" s="180" t="s">
        <v>31</v>
      </c>
      <c r="L41" s="180" t="s">
        <v>31</v>
      </c>
      <c r="M41" s="180" t="s">
        <v>31</v>
      </c>
      <c r="N41" s="180" t="s">
        <v>31</v>
      </c>
      <c r="O41" s="59" t="s">
        <v>1572</v>
      </c>
      <c r="P41" s="59"/>
    </row>
    <row r="42" spans="1:16" ht="15.6">
      <c r="A42" s="88" t="s">
        <v>572</v>
      </c>
      <c r="B42" s="176">
        <v>-6.84</v>
      </c>
      <c r="D42" t="s">
        <v>37</v>
      </c>
      <c r="E42" s="188" t="s">
        <v>40</v>
      </c>
      <c r="F42" s="59" t="s">
        <v>1839</v>
      </c>
      <c r="G42" t="s">
        <v>82</v>
      </c>
      <c r="H42" t="s">
        <v>33</v>
      </c>
      <c r="I42" s="59">
        <v>0</v>
      </c>
      <c r="J42" s="180" t="s">
        <v>31</v>
      </c>
      <c r="K42" s="180" t="s">
        <v>31</v>
      </c>
      <c r="L42" s="180" t="s">
        <v>31</v>
      </c>
      <c r="M42" s="180" t="s">
        <v>31</v>
      </c>
      <c r="N42" s="180" t="s">
        <v>31</v>
      </c>
      <c r="O42" s="59" t="s">
        <v>1572</v>
      </c>
      <c r="P42" s="180" t="s">
        <v>1573</v>
      </c>
    </row>
    <row r="43" spans="1:16" ht="15.6">
      <c r="A43" t="s">
        <v>38</v>
      </c>
      <c r="B43">
        <f>B44*0.277777777</f>
        <v>33.040999907485201</v>
      </c>
      <c r="D43" t="s">
        <v>39</v>
      </c>
      <c r="E43" s="188" t="s">
        <v>40</v>
      </c>
      <c r="F43" s="59" t="s">
        <v>1839</v>
      </c>
      <c r="G43" t="s">
        <v>59</v>
      </c>
      <c r="H43" s="59" t="s">
        <v>136</v>
      </c>
      <c r="I43" s="59">
        <v>0</v>
      </c>
      <c r="J43" s="180" t="s">
        <v>31</v>
      </c>
      <c r="K43" s="180" t="s">
        <v>31</v>
      </c>
      <c r="L43" s="180" t="s">
        <v>31</v>
      </c>
      <c r="M43" s="180" t="s">
        <v>31</v>
      </c>
      <c r="N43" s="180" t="s">
        <v>31</v>
      </c>
      <c r="O43" t="s">
        <v>1574</v>
      </c>
    </row>
    <row r="44" spans="1:16" ht="15.6">
      <c r="A44" t="s">
        <v>70</v>
      </c>
      <c r="B44">
        <f>-B42*0.5*34.78</f>
        <v>118.94760000000001</v>
      </c>
      <c r="D44" t="s">
        <v>71</v>
      </c>
      <c r="E44" s="188" t="s">
        <v>40</v>
      </c>
      <c r="F44" s="59" t="s">
        <v>1839</v>
      </c>
      <c r="G44" t="s">
        <v>59</v>
      </c>
      <c r="H44" s="59" t="s">
        <v>136</v>
      </c>
      <c r="I44" s="59">
        <v>0</v>
      </c>
      <c r="J44" s="180" t="s">
        <v>31</v>
      </c>
      <c r="K44" s="180" t="s">
        <v>31</v>
      </c>
      <c r="L44" s="180" t="s">
        <v>31</v>
      </c>
      <c r="M44" s="180" t="s">
        <v>31</v>
      </c>
      <c r="N44" s="180" t="s">
        <v>31</v>
      </c>
      <c r="O44" t="s">
        <v>1575</v>
      </c>
    </row>
    <row r="45" spans="1:16" s="185" customFormat="1" ht="15.6">
      <c r="A45" s="182" t="s">
        <v>5</v>
      </c>
      <c r="B45" s="182" t="s">
        <v>1844</v>
      </c>
      <c r="C45" s="182"/>
      <c r="D45" s="183"/>
      <c r="E45" s="184"/>
      <c r="F45" s="184"/>
      <c r="G45" s="184"/>
      <c r="H45" s="184"/>
      <c r="I45" s="184"/>
      <c r="J45" s="184"/>
      <c r="K45" s="184"/>
      <c r="L45" s="184"/>
      <c r="M45" s="184"/>
      <c r="N45" s="184"/>
      <c r="O45" s="184"/>
      <c r="P45" s="184"/>
    </row>
    <row r="46" spans="1:16">
      <c r="A46" s="59" t="s">
        <v>7</v>
      </c>
      <c r="B46" s="59" t="s">
        <v>1837</v>
      </c>
      <c r="C46" s="59"/>
      <c r="D46" s="59"/>
      <c r="E46" s="59"/>
      <c r="F46" s="59"/>
      <c r="G46" s="59"/>
      <c r="H46" s="59"/>
      <c r="I46" s="59"/>
      <c r="J46" s="59"/>
      <c r="K46" s="59"/>
      <c r="L46" s="59"/>
      <c r="M46" s="59"/>
      <c r="N46" s="59"/>
      <c r="O46" s="59"/>
      <c r="P46" s="59"/>
    </row>
    <row r="47" spans="1:16">
      <c r="A47" s="59" t="s">
        <v>9</v>
      </c>
      <c r="B47" s="201" t="s">
        <v>1845</v>
      </c>
      <c r="C47" s="59"/>
      <c r="D47" s="59"/>
      <c r="E47" s="59"/>
      <c r="F47" s="59"/>
      <c r="G47" s="59"/>
      <c r="H47" s="59"/>
      <c r="I47" s="59"/>
      <c r="J47" s="59"/>
      <c r="K47" s="59"/>
      <c r="L47" s="59"/>
      <c r="M47" s="59"/>
      <c r="N47" s="59"/>
      <c r="O47" s="59"/>
      <c r="P47" s="59"/>
    </row>
    <row r="48" spans="1:16">
      <c r="A48" s="59" t="s">
        <v>11</v>
      </c>
      <c r="B48" s="59" t="s">
        <v>1578</v>
      </c>
      <c r="C48" s="59"/>
      <c r="D48" s="59"/>
      <c r="E48" s="59"/>
      <c r="F48" s="59"/>
      <c r="G48" s="59"/>
      <c r="H48" s="59"/>
      <c r="I48" s="59"/>
      <c r="J48" s="59"/>
      <c r="K48" s="59"/>
      <c r="L48" s="59"/>
      <c r="M48" s="59"/>
      <c r="N48" s="59"/>
      <c r="O48" s="59"/>
      <c r="P48" s="59"/>
    </row>
    <row r="49" spans="1:16">
      <c r="A49" s="59" t="s">
        <v>13</v>
      </c>
      <c r="B49" s="59" t="s">
        <v>59</v>
      </c>
      <c r="C49" s="59"/>
      <c r="D49" s="59"/>
      <c r="E49" s="59"/>
      <c r="F49" s="59"/>
      <c r="G49" s="59"/>
      <c r="H49" s="59"/>
      <c r="I49" s="59"/>
      <c r="J49" s="59"/>
      <c r="K49" s="59"/>
      <c r="L49" s="59"/>
      <c r="M49" s="59"/>
      <c r="N49" s="59"/>
      <c r="O49" s="59"/>
      <c r="P49" s="59"/>
    </row>
    <row r="50" spans="1:16">
      <c r="A50" s="59" t="s">
        <v>15</v>
      </c>
      <c r="B50" s="59">
        <v>1</v>
      </c>
      <c r="C50" s="59"/>
      <c r="D50" s="59"/>
      <c r="E50" s="59"/>
      <c r="F50" s="59"/>
      <c r="G50" s="59"/>
      <c r="H50" s="59"/>
      <c r="I50" s="59"/>
      <c r="J50" s="59"/>
      <c r="K50" s="59"/>
      <c r="L50" s="59"/>
      <c r="M50" s="59"/>
      <c r="N50" s="59"/>
      <c r="O50" s="59"/>
      <c r="P50" s="59"/>
    </row>
    <row r="51" spans="1:16">
      <c r="A51" s="59" t="s">
        <v>16</v>
      </c>
      <c r="B51" s="59" t="s">
        <v>17</v>
      </c>
      <c r="C51" s="59"/>
      <c r="D51" s="59"/>
      <c r="E51" s="59"/>
      <c r="F51" s="59"/>
      <c r="G51" s="59"/>
      <c r="H51" s="59"/>
      <c r="I51" s="59"/>
      <c r="J51" s="59"/>
      <c r="K51" s="59"/>
      <c r="L51" s="59"/>
      <c r="M51" s="59"/>
      <c r="N51" s="59"/>
      <c r="O51" s="59"/>
      <c r="P51" s="59"/>
    </row>
    <row r="52" spans="1:16">
      <c r="A52" s="59" t="s">
        <v>18</v>
      </c>
      <c r="B52" s="59" t="s">
        <v>18</v>
      </c>
      <c r="C52" s="59"/>
      <c r="D52" s="59"/>
      <c r="E52" s="59" t="s">
        <v>235</v>
      </c>
      <c r="F52" s="59"/>
      <c r="G52" s="59"/>
      <c r="H52" s="59"/>
      <c r="I52" s="59"/>
      <c r="J52" s="59"/>
      <c r="K52" s="59"/>
      <c r="L52" s="59"/>
      <c r="M52" s="59"/>
      <c r="N52" s="59"/>
      <c r="O52" s="59"/>
      <c r="P52" s="59"/>
    </row>
    <row r="53" spans="1:16" ht="15.6">
      <c r="A53" s="181" t="s">
        <v>19</v>
      </c>
      <c r="B53" s="59"/>
      <c r="C53" s="59"/>
      <c r="D53" s="59"/>
      <c r="E53" s="59"/>
      <c r="F53" s="59"/>
      <c r="G53" s="59"/>
      <c r="H53" s="59"/>
      <c r="I53" s="59"/>
      <c r="J53" s="59"/>
      <c r="K53" s="59"/>
      <c r="L53" s="59"/>
      <c r="M53" s="59"/>
      <c r="N53" s="59"/>
      <c r="O53" s="59"/>
      <c r="P53" s="59"/>
    </row>
    <row r="54" spans="1:16" ht="15.6">
      <c r="A54" s="181" t="s">
        <v>20</v>
      </c>
      <c r="B54" s="181" t="s">
        <v>21</v>
      </c>
      <c r="C54" s="181" t="s">
        <v>217</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702</v>
      </c>
    </row>
    <row r="55" spans="1:16" ht="15.6">
      <c r="A55" s="180" t="s">
        <v>1844</v>
      </c>
      <c r="B55" s="180">
        <v>1</v>
      </c>
      <c r="C55" s="180"/>
      <c r="D55" s="180" t="s">
        <v>18</v>
      </c>
      <c r="E55" s="59" t="s">
        <v>2</v>
      </c>
      <c r="F55" s="59" t="s">
        <v>1839</v>
      </c>
      <c r="G55" s="180" t="s">
        <v>59</v>
      </c>
      <c r="H55" s="59" t="s">
        <v>30</v>
      </c>
      <c r="I55" s="59">
        <v>0</v>
      </c>
      <c r="J55" s="180" t="s">
        <v>31</v>
      </c>
      <c r="K55" s="180" t="s">
        <v>31</v>
      </c>
      <c r="L55" s="180" t="s">
        <v>31</v>
      </c>
      <c r="M55" s="180" t="s">
        <v>31</v>
      </c>
      <c r="N55" s="180" t="s">
        <v>31</v>
      </c>
      <c r="O55" s="59"/>
      <c r="P55" s="59"/>
    </row>
    <row r="56" spans="1:16" ht="15.6">
      <c r="A56" s="88" t="s">
        <v>312</v>
      </c>
      <c r="B56" s="59">
        <f>-3.72</f>
        <v>-3.72</v>
      </c>
      <c r="D56" t="s">
        <v>37</v>
      </c>
      <c r="E56" s="188" t="s">
        <v>40</v>
      </c>
      <c r="F56" s="59" t="s">
        <v>1839</v>
      </c>
      <c r="G56" t="s">
        <v>82</v>
      </c>
      <c r="H56" t="s">
        <v>33</v>
      </c>
      <c r="I56" s="59">
        <v>0</v>
      </c>
      <c r="J56" s="180" t="s">
        <v>31</v>
      </c>
      <c r="K56" s="180" t="s">
        <v>31</v>
      </c>
      <c r="L56" s="180" t="s">
        <v>31</v>
      </c>
      <c r="M56" s="180" t="s">
        <v>31</v>
      </c>
      <c r="N56" s="180" t="s">
        <v>31</v>
      </c>
      <c r="O56" s="180" t="s">
        <v>1579</v>
      </c>
    </row>
    <row r="57" spans="1:16" s="185" customFormat="1" ht="15.6">
      <c r="A57" s="182" t="s">
        <v>5</v>
      </c>
      <c r="B57" s="182" t="s">
        <v>1846</v>
      </c>
      <c r="C57" s="182"/>
      <c r="D57" s="183"/>
      <c r="E57" s="184"/>
      <c r="F57" s="184"/>
      <c r="G57" s="184"/>
      <c r="H57" s="184"/>
      <c r="I57" s="184"/>
      <c r="J57" s="184"/>
      <c r="K57" s="184"/>
      <c r="L57" s="184"/>
      <c r="M57" s="184"/>
      <c r="N57" s="184"/>
      <c r="O57" s="184"/>
      <c r="P57" s="184"/>
    </row>
    <row r="58" spans="1:16">
      <c r="A58" s="59" t="s">
        <v>7</v>
      </c>
      <c r="B58" s="59" t="s">
        <v>1837</v>
      </c>
      <c r="C58" s="59"/>
      <c r="D58" s="59"/>
      <c r="E58" s="59"/>
      <c r="F58" s="59"/>
      <c r="G58" s="59"/>
      <c r="H58" s="59"/>
      <c r="I58" s="59"/>
      <c r="J58" s="59"/>
      <c r="K58" s="59"/>
      <c r="L58" s="59"/>
      <c r="M58" s="59"/>
      <c r="N58" s="59"/>
      <c r="O58" s="59"/>
      <c r="P58" s="59"/>
    </row>
    <row r="59" spans="1:16">
      <c r="A59" s="59" t="s">
        <v>9</v>
      </c>
      <c r="B59" s="201" t="s">
        <v>1847</v>
      </c>
      <c r="C59" s="59"/>
      <c r="D59" s="59"/>
      <c r="E59" s="59"/>
      <c r="F59" s="59"/>
      <c r="G59" s="59"/>
      <c r="H59" s="59"/>
      <c r="I59" s="59"/>
      <c r="J59" s="59"/>
      <c r="K59" s="59"/>
      <c r="L59" s="59"/>
      <c r="M59" s="59"/>
      <c r="N59" s="59"/>
      <c r="O59" s="59"/>
      <c r="P59" s="59"/>
    </row>
    <row r="60" spans="1:16">
      <c r="A60" s="59" t="s">
        <v>11</v>
      </c>
      <c r="B60" s="59" t="s">
        <v>1582</v>
      </c>
      <c r="C60" s="59"/>
      <c r="D60" s="59"/>
      <c r="E60" s="59"/>
      <c r="F60" s="59"/>
      <c r="G60" s="59"/>
      <c r="H60" s="59"/>
      <c r="I60" s="59"/>
      <c r="J60" s="59"/>
      <c r="K60" s="59"/>
      <c r="L60" s="59"/>
      <c r="M60" s="59"/>
      <c r="N60" s="59"/>
      <c r="O60" s="59"/>
      <c r="P60" s="59"/>
    </row>
    <row r="61" spans="1:16">
      <c r="A61" s="59" t="s">
        <v>13</v>
      </c>
      <c r="B61" s="59" t="s">
        <v>59</v>
      </c>
      <c r="C61" s="59"/>
      <c r="D61" s="59"/>
      <c r="E61" s="59"/>
      <c r="F61" s="59"/>
      <c r="G61" s="59"/>
      <c r="H61" s="59"/>
      <c r="I61" s="59"/>
      <c r="J61" s="59"/>
      <c r="K61" s="59"/>
      <c r="L61" s="59"/>
      <c r="M61" s="59"/>
      <c r="N61" s="59"/>
      <c r="O61" s="59"/>
      <c r="P61" s="59"/>
    </row>
    <row r="62" spans="1:16">
      <c r="A62" s="59" t="s">
        <v>15</v>
      </c>
      <c r="B62" s="59">
        <v>1</v>
      </c>
      <c r="C62" s="59"/>
      <c r="D62" s="59"/>
      <c r="E62" s="59"/>
      <c r="F62" s="59"/>
      <c r="G62" s="59"/>
      <c r="H62" s="59"/>
      <c r="I62" s="59"/>
      <c r="J62" s="59"/>
      <c r="K62" s="59"/>
      <c r="L62" s="59"/>
      <c r="M62" s="59"/>
      <c r="N62" s="59"/>
      <c r="O62" s="59"/>
      <c r="P62" s="59"/>
    </row>
    <row r="63" spans="1:16">
      <c r="A63" s="59" t="s">
        <v>16</v>
      </c>
      <c r="B63" s="59" t="s">
        <v>17</v>
      </c>
      <c r="C63" s="59"/>
      <c r="D63" s="59"/>
      <c r="E63" s="59"/>
      <c r="F63" s="59"/>
      <c r="G63" s="59"/>
      <c r="H63" s="59"/>
      <c r="I63" s="59"/>
      <c r="J63" s="59"/>
      <c r="K63" s="59"/>
      <c r="L63" s="59"/>
      <c r="M63" s="59"/>
      <c r="N63" s="59"/>
      <c r="O63" s="59"/>
      <c r="P63" s="59"/>
    </row>
    <row r="64" spans="1:16">
      <c r="A64" s="59" t="s">
        <v>18</v>
      </c>
      <c r="B64" s="59" t="s">
        <v>18</v>
      </c>
      <c r="C64" s="59"/>
      <c r="D64" s="59"/>
      <c r="E64" s="59" t="s">
        <v>235</v>
      </c>
      <c r="F64" s="59"/>
      <c r="G64" s="59"/>
      <c r="H64" s="59"/>
      <c r="I64" s="59"/>
      <c r="J64" s="59"/>
      <c r="K64" s="59"/>
      <c r="L64" s="59"/>
      <c r="M64" s="59"/>
      <c r="N64" s="59"/>
      <c r="O64" s="59"/>
      <c r="P64" s="59"/>
    </row>
    <row r="65" spans="1:16" ht="15.6">
      <c r="A65" s="181" t="s">
        <v>19</v>
      </c>
      <c r="B65" s="59"/>
      <c r="C65" s="59"/>
      <c r="D65" s="59"/>
      <c r="E65" s="59"/>
      <c r="F65" s="59"/>
      <c r="G65" s="59"/>
      <c r="H65" s="59"/>
      <c r="I65" s="59"/>
      <c r="J65" s="59"/>
      <c r="K65" s="59"/>
      <c r="L65" s="59"/>
      <c r="M65" s="59"/>
      <c r="N65" s="59"/>
      <c r="O65" s="59"/>
      <c r="P65" s="59"/>
    </row>
    <row r="66" spans="1:16" ht="15.6">
      <c r="A66" s="181" t="s">
        <v>20</v>
      </c>
      <c r="B66" s="181" t="s">
        <v>21</v>
      </c>
      <c r="C66" s="181" t="s">
        <v>217</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702</v>
      </c>
    </row>
    <row r="67" spans="1:16" ht="15.6">
      <c r="A67" s="180" t="s">
        <v>1846</v>
      </c>
      <c r="B67" s="180">
        <v>1</v>
      </c>
      <c r="C67" s="180"/>
      <c r="D67" s="180" t="s">
        <v>18</v>
      </c>
      <c r="E67" s="59" t="s">
        <v>2</v>
      </c>
      <c r="F67" s="59" t="s">
        <v>1839</v>
      </c>
      <c r="G67" s="180" t="s">
        <v>59</v>
      </c>
      <c r="H67" s="59" t="s">
        <v>30</v>
      </c>
      <c r="I67" s="59">
        <v>0</v>
      </c>
      <c r="J67" s="180" t="s">
        <v>31</v>
      </c>
      <c r="K67" s="180" t="s">
        <v>31</v>
      </c>
      <c r="L67" s="180" t="s">
        <v>31</v>
      </c>
      <c r="M67" s="180" t="s">
        <v>31</v>
      </c>
      <c r="N67" s="180" t="s">
        <v>31</v>
      </c>
      <c r="O67" s="59"/>
      <c r="P67" s="59"/>
    </row>
    <row r="68" spans="1:16" ht="15.6">
      <c r="A68" t="str">
        <f>B2</f>
        <v>treatment of circuit components, EoL power electronics, PEMFC-bat, Long-Term</v>
      </c>
      <c r="B68" s="180">
        <v>1</v>
      </c>
      <c r="D68" s="180" t="s">
        <v>18</v>
      </c>
      <c r="E68" s="59" t="s">
        <v>2</v>
      </c>
      <c r="F68" s="59" t="s">
        <v>1839</v>
      </c>
      <c r="G68" s="180" t="s">
        <v>59</v>
      </c>
      <c r="H68" t="s">
        <v>33</v>
      </c>
      <c r="I68" s="59">
        <v>0</v>
      </c>
      <c r="J68" s="180" t="s">
        <v>31</v>
      </c>
      <c r="K68" s="180" t="s">
        <v>31</v>
      </c>
      <c r="L68" s="180" t="s">
        <v>31</v>
      </c>
      <c r="M68" s="180" t="s">
        <v>31</v>
      </c>
      <c r="N68" s="180" t="s">
        <v>31</v>
      </c>
    </row>
    <row r="69" spans="1:16" ht="15.6">
      <c r="A69" t="str">
        <f>B14</f>
        <v>treatment of metals, EoL power electronics, PEMFC-bat, Long-Term</v>
      </c>
      <c r="B69" s="180">
        <v>1</v>
      </c>
      <c r="D69" s="180" t="s">
        <v>18</v>
      </c>
      <c r="E69" s="59" t="s">
        <v>2</v>
      </c>
      <c r="F69" s="59" t="s">
        <v>1839</v>
      </c>
      <c r="G69" s="180" t="s">
        <v>59</v>
      </c>
      <c r="H69" t="s">
        <v>33</v>
      </c>
      <c r="I69" s="59">
        <v>0</v>
      </c>
      <c r="J69" s="180" t="s">
        <v>31</v>
      </c>
      <c r="K69" s="180" t="s">
        <v>31</v>
      </c>
      <c r="L69" s="180" t="s">
        <v>31</v>
      </c>
      <c r="M69" s="180" t="s">
        <v>31</v>
      </c>
      <c r="N69" s="180" t="s">
        <v>31</v>
      </c>
    </row>
    <row r="70" spans="1:16" ht="15.6">
      <c r="A70" t="str">
        <f>B31</f>
        <v>treatment of plastics, EoL power electronics, PEMFC-bat, Long-Term</v>
      </c>
      <c r="B70" s="180">
        <v>1</v>
      </c>
      <c r="D70" s="180" t="s">
        <v>18</v>
      </c>
      <c r="E70" s="59" t="s">
        <v>2</v>
      </c>
      <c r="F70" s="59" t="s">
        <v>1839</v>
      </c>
      <c r="G70" s="180" t="s">
        <v>59</v>
      </c>
      <c r="H70" t="s">
        <v>33</v>
      </c>
      <c r="I70" s="59">
        <v>0</v>
      </c>
      <c r="J70" s="180" t="s">
        <v>31</v>
      </c>
      <c r="K70" s="180" t="s">
        <v>31</v>
      </c>
      <c r="L70" s="180" t="s">
        <v>31</v>
      </c>
      <c r="M70" s="180" t="s">
        <v>31</v>
      </c>
      <c r="N70" s="180" t="s">
        <v>31</v>
      </c>
    </row>
    <row r="71" spans="1:16" ht="15.6">
      <c r="A71" t="str">
        <f>B45</f>
        <v>treatment of remaining material components, EoL power electronics, PEMFC-bat, Long-Term</v>
      </c>
      <c r="B71" s="180">
        <v>1</v>
      </c>
      <c r="D71" s="180" t="s">
        <v>18</v>
      </c>
      <c r="E71" s="59" t="s">
        <v>2</v>
      </c>
      <c r="F71" s="59" t="s">
        <v>1839</v>
      </c>
      <c r="G71" s="180" t="s">
        <v>59</v>
      </c>
      <c r="H71" t="s">
        <v>33</v>
      </c>
      <c r="I71" s="59">
        <v>0</v>
      </c>
      <c r="J71" s="180" t="s">
        <v>31</v>
      </c>
      <c r="K71" s="180" t="s">
        <v>31</v>
      </c>
      <c r="L71" s="180" t="s">
        <v>31</v>
      </c>
      <c r="M71" s="180" t="s">
        <v>31</v>
      </c>
      <c r="N71" s="180" t="s">
        <v>31</v>
      </c>
    </row>
    <row r="72" spans="1:16" ht="15.6">
      <c r="A72" s="88" t="s">
        <v>1584</v>
      </c>
      <c r="B72">
        <f>-72.42</f>
        <v>-72.42</v>
      </c>
      <c r="D72" s="180" t="s">
        <v>37</v>
      </c>
      <c r="E72" s="59" t="s">
        <v>40</v>
      </c>
      <c r="F72" s="59" t="s">
        <v>1839</v>
      </c>
      <c r="G72" s="180" t="s">
        <v>82</v>
      </c>
      <c r="H72" t="s">
        <v>33</v>
      </c>
      <c r="I72" s="59">
        <v>0</v>
      </c>
      <c r="J72" s="180" t="s">
        <v>31</v>
      </c>
      <c r="K72" s="180" t="s">
        <v>31</v>
      </c>
      <c r="L72" s="180" t="s">
        <v>31</v>
      </c>
      <c r="M72" s="180" t="s">
        <v>31</v>
      </c>
      <c r="N72" s="180" t="s">
        <v>31</v>
      </c>
      <c r="O72" s="180" t="s">
        <v>1585</v>
      </c>
    </row>
  </sheetData>
  <pageMargins left="0.7" right="0.7" top="0.75" bottom="0.75" header="0.3" footer="0.3"/>
  <pageSetup paperSize="9"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B921-048D-4B78-BE0D-0D63F47401F0}">
  <sheetPr>
    <tabColor theme="9"/>
  </sheetPr>
  <dimension ref="A1:Y85"/>
  <sheetViews>
    <sheetView topLeftCell="A79" zoomScale="85" zoomScaleNormal="85" workbookViewId="0">
      <selection activeCell="B5" sqref="B5"/>
    </sheetView>
  </sheetViews>
  <sheetFormatPr defaultRowHeight="14.45"/>
  <cols>
    <col min="1" max="1" width="79.5703125" bestFit="1" customWidth="1"/>
    <col min="5" max="5" width="31.28515625" bestFit="1" customWidth="1"/>
    <col min="6" max="6" width="20.5703125" bestFit="1" customWidth="1"/>
    <col min="7" max="7" width="9" bestFit="1" customWidth="1"/>
    <col min="8" max="8" width="13.42578125" bestFit="1" customWidth="1"/>
  </cols>
  <sheetData>
    <row r="1" spans="1:18" ht="17.25" customHeight="1">
      <c r="A1" t="s">
        <v>0</v>
      </c>
      <c r="B1">
        <v>14</v>
      </c>
    </row>
    <row r="2" spans="1:18" s="70" customFormat="1" ht="15.6">
      <c r="A2" s="178" t="s">
        <v>5</v>
      </c>
      <c r="B2" s="178" t="s">
        <v>1848</v>
      </c>
      <c r="C2" s="178"/>
      <c r="D2" s="69"/>
      <c r="E2" s="144"/>
      <c r="F2" s="144"/>
      <c r="G2" s="144"/>
      <c r="H2" s="144"/>
      <c r="I2" s="144"/>
      <c r="J2" s="144"/>
      <c r="K2" s="144"/>
      <c r="L2" s="144"/>
      <c r="M2" s="144"/>
      <c r="N2" s="144"/>
      <c r="O2" s="144"/>
      <c r="P2" s="144"/>
    </row>
    <row r="3" spans="1:18">
      <c r="A3" s="59" t="s">
        <v>7</v>
      </c>
      <c r="B3" s="59" t="s">
        <v>1849</v>
      </c>
      <c r="C3" s="59"/>
      <c r="D3" s="59"/>
      <c r="E3" s="59"/>
      <c r="F3" s="59"/>
      <c r="G3" s="59"/>
      <c r="H3" s="59"/>
      <c r="I3" s="59"/>
      <c r="J3" s="59"/>
      <c r="K3" s="59"/>
      <c r="L3" s="59"/>
      <c r="M3" s="59"/>
      <c r="N3" s="59"/>
      <c r="O3" s="59"/>
      <c r="P3" s="59"/>
    </row>
    <row r="4" spans="1:18">
      <c r="A4" s="59" t="s">
        <v>9</v>
      </c>
      <c r="B4" s="201" t="s">
        <v>1850</v>
      </c>
      <c r="C4" s="59"/>
      <c r="D4" s="59"/>
      <c r="E4" s="59"/>
      <c r="F4" s="59"/>
      <c r="G4" s="59"/>
      <c r="H4" s="59"/>
      <c r="I4" s="59"/>
      <c r="J4" s="59"/>
      <c r="K4" s="59"/>
      <c r="L4" s="59"/>
      <c r="M4" s="59"/>
      <c r="N4" s="59"/>
      <c r="O4" s="59"/>
      <c r="P4" s="59"/>
    </row>
    <row r="5" spans="1:18">
      <c r="A5" s="59" t="s">
        <v>11</v>
      </c>
      <c r="B5" s="59" t="s">
        <v>1590</v>
      </c>
      <c r="C5" s="59"/>
      <c r="D5" s="59"/>
      <c r="E5" s="59"/>
      <c r="F5" s="59"/>
      <c r="G5" s="59"/>
      <c r="H5" s="59"/>
      <c r="I5" s="59"/>
      <c r="J5" s="59"/>
      <c r="K5" s="59"/>
      <c r="L5" s="59"/>
      <c r="M5" s="59"/>
      <c r="N5" s="59"/>
      <c r="O5" s="59"/>
      <c r="P5" s="59"/>
    </row>
    <row r="6" spans="1:18">
      <c r="A6" s="59" t="s">
        <v>13</v>
      </c>
      <c r="B6" s="59" t="s">
        <v>59</v>
      </c>
      <c r="C6" s="59"/>
      <c r="D6" s="59"/>
      <c r="E6" s="59"/>
      <c r="F6" s="59"/>
      <c r="G6" s="59"/>
      <c r="H6" s="59"/>
      <c r="I6" s="59"/>
      <c r="J6" s="59"/>
      <c r="K6" s="59"/>
      <c r="L6" s="59"/>
      <c r="M6" s="59"/>
      <c r="N6" s="59"/>
      <c r="O6" s="59"/>
      <c r="P6" s="59"/>
    </row>
    <row r="7" spans="1:18">
      <c r="A7" s="59" t="s">
        <v>15</v>
      </c>
      <c r="B7" s="59">
        <v>1</v>
      </c>
      <c r="C7" s="59"/>
      <c r="D7" s="59"/>
      <c r="E7" s="59"/>
      <c r="F7" s="59"/>
      <c r="G7" s="59"/>
      <c r="H7" s="59"/>
      <c r="I7" s="59"/>
      <c r="J7" s="59"/>
      <c r="K7" s="59"/>
      <c r="L7" s="59"/>
      <c r="M7" s="59"/>
      <c r="N7" s="59"/>
      <c r="O7" s="59"/>
      <c r="P7" s="59"/>
    </row>
    <row r="8" spans="1:18">
      <c r="A8" s="59" t="s">
        <v>16</v>
      </c>
      <c r="B8" s="59" t="s">
        <v>17</v>
      </c>
      <c r="C8" s="59"/>
      <c r="D8" s="59"/>
      <c r="E8" s="59"/>
      <c r="F8" s="59"/>
      <c r="G8" s="59"/>
      <c r="H8" s="59"/>
      <c r="I8" s="59"/>
      <c r="J8" s="59"/>
      <c r="K8" s="59"/>
      <c r="L8" s="59"/>
      <c r="M8" s="59"/>
      <c r="N8" s="59"/>
      <c r="O8" s="59"/>
      <c r="P8" s="59"/>
    </row>
    <row r="9" spans="1:18" ht="15.6">
      <c r="A9" s="59" t="s">
        <v>18</v>
      </c>
      <c r="B9" s="180" t="s">
        <v>37</v>
      </c>
      <c r="C9" s="59"/>
      <c r="D9" s="59"/>
      <c r="E9" s="59" t="s">
        <v>235</v>
      </c>
      <c r="F9" s="59"/>
      <c r="G9" s="59"/>
      <c r="H9" s="59"/>
      <c r="I9" s="59"/>
      <c r="J9" s="59"/>
      <c r="K9" s="59"/>
      <c r="L9" s="59"/>
      <c r="M9" s="59"/>
      <c r="N9" s="59"/>
      <c r="O9" s="59"/>
      <c r="P9" s="59"/>
    </row>
    <row r="10" spans="1:18" ht="15.6">
      <c r="A10" s="181" t="s">
        <v>19</v>
      </c>
      <c r="B10" s="59"/>
      <c r="C10" s="59"/>
      <c r="D10" s="59"/>
      <c r="E10" s="59"/>
      <c r="F10" s="59"/>
      <c r="G10" s="59"/>
      <c r="H10" s="59"/>
      <c r="I10" s="59"/>
      <c r="J10" s="59"/>
      <c r="K10" s="59"/>
      <c r="L10" s="59"/>
      <c r="M10" s="59"/>
      <c r="N10" s="59"/>
      <c r="O10" s="59"/>
      <c r="P10" s="59"/>
    </row>
    <row r="11" spans="1:18"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8" ht="15.6">
      <c r="A12" s="180" t="s">
        <v>1848</v>
      </c>
      <c r="B12" s="180">
        <v>1</v>
      </c>
      <c r="C12" s="180"/>
      <c r="D12" s="180" t="s">
        <v>37</v>
      </c>
      <c r="E12" s="59" t="s">
        <v>2</v>
      </c>
      <c r="F12" s="59" t="s">
        <v>1851</v>
      </c>
      <c r="G12" s="180" t="s">
        <v>59</v>
      </c>
      <c r="H12" s="59" t="s">
        <v>30</v>
      </c>
      <c r="I12" s="59">
        <v>0</v>
      </c>
      <c r="J12" s="180" t="s">
        <v>31</v>
      </c>
      <c r="K12" s="180" t="s">
        <v>31</v>
      </c>
      <c r="L12" s="180" t="s">
        <v>31</v>
      </c>
      <c r="M12" s="180" t="s">
        <v>31</v>
      </c>
      <c r="N12" s="180" t="s">
        <v>31</v>
      </c>
      <c r="O12" s="59"/>
      <c r="P12" s="59"/>
    </row>
    <row r="13" spans="1:18" ht="15.6">
      <c r="A13" t="s">
        <v>135</v>
      </c>
      <c r="B13" s="23">
        <f>0.8</f>
        <v>0.8</v>
      </c>
      <c r="C13" s="180"/>
      <c r="D13" s="180" t="s">
        <v>37</v>
      </c>
      <c r="E13" s="88" t="s">
        <v>40</v>
      </c>
      <c r="F13" s="59" t="s">
        <v>29</v>
      </c>
      <c r="G13" s="180" t="s">
        <v>82</v>
      </c>
      <c r="H13" s="59" t="s">
        <v>33</v>
      </c>
      <c r="I13" s="59">
        <v>0</v>
      </c>
      <c r="J13" s="180" t="s">
        <v>31</v>
      </c>
      <c r="K13" s="180" t="s">
        <v>31</v>
      </c>
      <c r="L13" s="180" t="s">
        <v>31</v>
      </c>
      <c r="M13" s="180" t="s">
        <v>31</v>
      </c>
      <c r="N13" s="180" t="s">
        <v>31</v>
      </c>
      <c r="O13" s="59"/>
      <c r="P13" s="59" t="s">
        <v>1593</v>
      </c>
      <c r="R13" t="s">
        <v>1594</v>
      </c>
    </row>
    <row r="14" spans="1:18" ht="15.6">
      <c r="A14" t="s">
        <v>703</v>
      </c>
      <c r="B14" s="23">
        <f>0.8*0.9</f>
        <v>0.72000000000000008</v>
      </c>
      <c r="C14" s="180"/>
      <c r="D14" s="180" t="s">
        <v>37</v>
      </c>
      <c r="E14" s="88" t="s">
        <v>40</v>
      </c>
      <c r="F14" s="59" t="s">
        <v>29</v>
      </c>
      <c r="G14" s="180" t="s">
        <v>59</v>
      </c>
      <c r="H14" s="59" t="s">
        <v>136</v>
      </c>
      <c r="I14" s="59">
        <v>0</v>
      </c>
      <c r="J14" s="180" t="s">
        <v>31</v>
      </c>
      <c r="K14" s="180" t="s">
        <v>31</v>
      </c>
      <c r="L14" s="180" t="s">
        <v>31</v>
      </c>
      <c r="M14" s="180" t="s">
        <v>31</v>
      </c>
      <c r="N14" s="180" t="s">
        <v>31</v>
      </c>
      <c r="O14" s="59"/>
      <c r="P14" s="59" t="s">
        <v>1373</v>
      </c>
      <c r="R14" t="s">
        <v>1594</v>
      </c>
    </row>
    <row r="15" spans="1:18" ht="16.5" customHeight="1">
      <c r="A15" t="s">
        <v>403</v>
      </c>
      <c r="B15" s="23">
        <v>-0.2</v>
      </c>
      <c r="D15" t="s">
        <v>37</v>
      </c>
      <c r="E15" s="88" t="s">
        <v>40</v>
      </c>
      <c r="F15" s="59" t="s">
        <v>1851</v>
      </c>
      <c r="G15" t="s">
        <v>59</v>
      </c>
      <c r="H15" t="s">
        <v>33</v>
      </c>
      <c r="I15">
        <v>0</v>
      </c>
      <c r="J15" t="s">
        <v>31</v>
      </c>
      <c r="K15" t="s">
        <v>31</v>
      </c>
      <c r="L15" t="s">
        <v>31</v>
      </c>
      <c r="M15" t="s">
        <v>31</v>
      </c>
      <c r="N15" t="s">
        <v>31</v>
      </c>
      <c r="O15" s="17"/>
      <c r="P15" s="59" t="s">
        <v>1595</v>
      </c>
      <c r="R15" t="s">
        <v>1594</v>
      </c>
    </row>
    <row r="16" spans="1:18" s="70" customFormat="1" ht="15.6">
      <c r="A16" s="178" t="s">
        <v>5</v>
      </c>
      <c r="B16" s="178" t="s">
        <v>1852</v>
      </c>
      <c r="C16" s="178"/>
      <c r="D16" s="69"/>
      <c r="E16" s="144"/>
      <c r="F16" s="144"/>
      <c r="G16" s="144"/>
      <c r="H16" s="144"/>
      <c r="I16" s="144"/>
      <c r="J16" s="144"/>
      <c r="K16" s="144"/>
      <c r="L16" s="144"/>
      <c r="M16" s="144"/>
      <c r="N16" s="144"/>
      <c r="O16" s="144"/>
      <c r="P16" s="144"/>
    </row>
    <row r="17" spans="1:16">
      <c r="A17" s="59" t="s">
        <v>7</v>
      </c>
      <c r="B17" s="59" t="s">
        <v>1849</v>
      </c>
      <c r="C17" s="59"/>
      <c r="D17" s="59"/>
      <c r="E17" s="59"/>
      <c r="F17" s="59"/>
      <c r="G17" s="59"/>
      <c r="H17" s="59"/>
      <c r="I17" s="59"/>
      <c r="J17" s="59"/>
      <c r="K17" s="59"/>
      <c r="L17" s="59"/>
      <c r="M17" s="59"/>
      <c r="N17" s="59"/>
      <c r="O17" s="59"/>
      <c r="P17" s="59"/>
    </row>
    <row r="18" spans="1:16">
      <c r="A18" s="59" t="s">
        <v>9</v>
      </c>
      <c r="B18" s="201" t="s">
        <v>1853</v>
      </c>
      <c r="C18" s="59"/>
      <c r="D18" s="59"/>
      <c r="E18" s="59"/>
      <c r="F18" s="59"/>
      <c r="G18" s="59"/>
      <c r="H18" s="59"/>
      <c r="I18" s="59"/>
      <c r="J18" s="59"/>
      <c r="K18" s="59"/>
      <c r="L18" s="59"/>
      <c r="M18" s="59"/>
      <c r="N18" s="59"/>
      <c r="O18" s="59"/>
      <c r="P18" s="59"/>
    </row>
    <row r="19" spans="1:16">
      <c r="A19" s="59" t="s">
        <v>11</v>
      </c>
      <c r="B19" s="59" t="s">
        <v>1590</v>
      </c>
      <c r="C19" s="59"/>
      <c r="D19" s="59"/>
      <c r="E19" s="59"/>
      <c r="F19" s="59"/>
      <c r="G19" s="59"/>
      <c r="H19" s="59"/>
      <c r="I19" s="59"/>
      <c r="J19" s="59"/>
      <c r="K19" s="59"/>
      <c r="L19" s="59"/>
      <c r="M19" s="59"/>
      <c r="N19" s="59"/>
      <c r="O19" s="59"/>
      <c r="P19" s="59"/>
    </row>
    <row r="20" spans="1:16">
      <c r="A20" s="59" t="s">
        <v>13</v>
      </c>
      <c r="B20" s="59" t="s">
        <v>59</v>
      </c>
      <c r="C20" s="59"/>
      <c r="D20" s="59"/>
      <c r="E20" s="59"/>
      <c r="F20" s="59"/>
      <c r="G20" s="59"/>
      <c r="H20" s="59"/>
      <c r="I20" s="59"/>
      <c r="J20" s="59"/>
      <c r="K20" s="59"/>
      <c r="L20" s="59"/>
      <c r="M20" s="59"/>
      <c r="N20" s="59"/>
      <c r="O20" s="59"/>
      <c r="P20" s="59"/>
    </row>
    <row r="21" spans="1:16">
      <c r="A21" s="59" t="s">
        <v>15</v>
      </c>
      <c r="B21" s="59">
        <v>1</v>
      </c>
      <c r="C21" s="59"/>
      <c r="D21" s="59"/>
      <c r="E21" s="59"/>
      <c r="F21" s="59"/>
      <c r="G21" s="59"/>
      <c r="H21" s="59"/>
      <c r="I21" s="59"/>
      <c r="J21" s="59"/>
      <c r="K21" s="59"/>
      <c r="L21" s="59"/>
      <c r="M21" s="59"/>
      <c r="N21" s="59"/>
      <c r="O21" s="59"/>
      <c r="P21" s="59"/>
    </row>
    <row r="22" spans="1:16">
      <c r="A22" s="59" t="s">
        <v>16</v>
      </c>
      <c r="B22" s="59" t="s">
        <v>17</v>
      </c>
      <c r="C22" s="59"/>
      <c r="D22" s="59"/>
      <c r="E22" s="59"/>
      <c r="F22" s="59"/>
      <c r="G22" s="59"/>
      <c r="H22" s="59"/>
      <c r="I22" s="59"/>
      <c r="J22" s="59"/>
      <c r="K22" s="59"/>
      <c r="L22" s="59"/>
      <c r="M22" s="59"/>
      <c r="N22" s="59"/>
      <c r="O22" s="59"/>
      <c r="P22" s="59"/>
    </row>
    <row r="23" spans="1:16" ht="15.6">
      <c r="A23" s="59" t="s">
        <v>18</v>
      </c>
      <c r="B23" s="180" t="s">
        <v>37</v>
      </c>
      <c r="C23" s="59"/>
      <c r="D23" s="59"/>
      <c r="E23" s="59" t="s">
        <v>235</v>
      </c>
      <c r="F23" s="59"/>
      <c r="G23" s="59"/>
      <c r="H23" s="59"/>
      <c r="I23" s="59"/>
      <c r="J23" s="59"/>
      <c r="K23" s="59"/>
      <c r="L23" s="59"/>
      <c r="M23" s="59"/>
      <c r="N23" s="59"/>
      <c r="O23" s="59"/>
      <c r="P23" s="59"/>
    </row>
    <row r="24" spans="1:16" ht="15.6">
      <c r="A24" s="181" t="s">
        <v>19</v>
      </c>
      <c r="B24" s="59"/>
      <c r="C24" s="59"/>
      <c r="D24" s="59"/>
      <c r="E24" s="59"/>
      <c r="F24" s="59"/>
      <c r="G24" s="59"/>
      <c r="H24" s="59"/>
      <c r="I24" s="59"/>
      <c r="J24" s="59"/>
      <c r="K24" s="59"/>
      <c r="L24" s="59"/>
      <c r="M24" s="59"/>
      <c r="N24" s="59"/>
      <c r="O24" s="59"/>
      <c r="P24" s="59"/>
    </row>
    <row r="25" spans="1:16" ht="15.6">
      <c r="A25" s="181" t="s">
        <v>20</v>
      </c>
      <c r="B25" s="181" t="s">
        <v>21</v>
      </c>
      <c r="C25" s="181" t="s">
        <v>217</v>
      </c>
      <c r="D25" s="181" t="s">
        <v>18</v>
      </c>
      <c r="E25" s="181" t="s">
        <v>22</v>
      </c>
      <c r="F25" s="181" t="s">
        <v>7</v>
      </c>
      <c r="G25" s="181" t="s">
        <v>13</v>
      </c>
      <c r="H25" s="181" t="s">
        <v>16</v>
      </c>
      <c r="I25" s="181" t="s">
        <v>23</v>
      </c>
      <c r="J25" s="181" t="s">
        <v>24</v>
      </c>
      <c r="K25" s="181" t="s">
        <v>25</v>
      </c>
      <c r="L25" s="181" t="s">
        <v>26</v>
      </c>
      <c r="M25" s="181" t="s">
        <v>27</v>
      </c>
      <c r="N25" s="181" t="s">
        <v>28</v>
      </c>
      <c r="O25" s="181" t="s">
        <v>11</v>
      </c>
      <c r="P25" s="181" t="s">
        <v>702</v>
      </c>
    </row>
    <row r="26" spans="1:16" ht="15.6">
      <c r="A26" s="180" t="str">
        <f>B16</f>
        <v>treatment of aluminium, motors and drives, PEMFC-bat, Long-Term</v>
      </c>
      <c r="B26" s="180">
        <v>1</v>
      </c>
      <c r="C26" s="180"/>
      <c r="D26" s="180" t="s">
        <v>37</v>
      </c>
      <c r="E26" s="59" t="s">
        <v>2</v>
      </c>
      <c r="F26" s="59" t="s">
        <v>1851</v>
      </c>
      <c r="G26" s="180" t="s">
        <v>59</v>
      </c>
      <c r="H26" s="59" t="s">
        <v>30</v>
      </c>
      <c r="I26" s="59">
        <v>0</v>
      </c>
      <c r="J26" s="180" t="s">
        <v>31</v>
      </c>
      <c r="K26" s="180" t="s">
        <v>31</v>
      </c>
      <c r="L26" s="180" t="s">
        <v>31</v>
      </c>
      <c r="M26" s="180" t="s">
        <v>31</v>
      </c>
      <c r="N26" s="180" t="s">
        <v>31</v>
      </c>
      <c r="O26" s="59"/>
      <c r="P26" s="59"/>
    </row>
    <row r="27" spans="1:16" ht="15.6">
      <c r="A27" t="s">
        <v>263</v>
      </c>
      <c r="B27" s="23">
        <f>0.8</f>
        <v>0.8</v>
      </c>
      <c r="C27" s="180"/>
      <c r="D27" s="180" t="s">
        <v>37</v>
      </c>
      <c r="E27" s="37" t="s">
        <v>40</v>
      </c>
      <c r="F27" s="59" t="s">
        <v>1851</v>
      </c>
      <c r="G27" s="180" t="s">
        <v>82</v>
      </c>
      <c r="H27" s="59" t="s">
        <v>33</v>
      </c>
      <c r="I27" s="59">
        <v>0</v>
      </c>
      <c r="J27" s="180" t="s">
        <v>31</v>
      </c>
      <c r="K27" s="180" t="s">
        <v>31</v>
      </c>
      <c r="L27" s="180" t="s">
        <v>31</v>
      </c>
      <c r="M27" s="180" t="s">
        <v>31</v>
      </c>
      <c r="N27" s="180" t="s">
        <v>31</v>
      </c>
      <c r="O27" s="59" t="s">
        <v>1854</v>
      </c>
      <c r="P27" s="59"/>
    </row>
    <row r="28" spans="1:16" ht="15.6">
      <c r="A28" t="s">
        <v>265</v>
      </c>
      <c r="B28" s="23">
        <f>0.8</f>
        <v>0.8</v>
      </c>
      <c r="C28" s="22" t="s">
        <v>266</v>
      </c>
      <c r="D28" t="s">
        <v>37</v>
      </c>
      <c r="E28" s="188" t="s">
        <v>40</v>
      </c>
      <c r="F28" s="59" t="s">
        <v>1851</v>
      </c>
      <c r="G28" t="s">
        <v>82</v>
      </c>
      <c r="H28" s="59" t="s">
        <v>33</v>
      </c>
      <c r="I28" s="59">
        <v>0</v>
      </c>
      <c r="J28" s="180" t="s">
        <v>31</v>
      </c>
      <c r="K28" s="180" t="s">
        <v>31</v>
      </c>
      <c r="L28" s="180" t="s">
        <v>31</v>
      </c>
      <c r="M28" s="180" t="s">
        <v>31</v>
      </c>
      <c r="N28" s="180" t="s">
        <v>31</v>
      </c>
      <c r="O28" t="s">
        <v>401</v>
      </c>
    </row>
    <row r="29" spans="1:16" ht="15.6">
      <c r="A29" t="s">
        <v>347</v>
      </c>
      <c r="B29" s="23">
        <f>0.8*0.9</f>
        <v>0.72000000000000008</v>
      </c>
      <c r="D29" t="s">
        <v>37</v>
      </c>
      <c r="E29" s="188" t="s">
        <v>40</v>
      </c>
      <c r="F29" s="59" t="s">
        <v>1851</v>
      </c>
      <c r="G29" t="s">
        <v>59</v>
      </c>
      <c r="H29" s="59" t="s">
        <v>136</v>
      </c>
      <c r="I29" s="59">
        <v>0</v>
      </c>
      <c r="J29" s="180" t="s">
        <v>31</v>
      </c>
      <c r="K29" s="180" t="s">
        <v>31</v>
      </c>
      <c r="L29" s="180" t="s">
        <v>31</v>
      </c>
      <c r="M29" s="180" t="s">
        <v>31</v>
      </c>
      <c r="N29" s="180" t="s">
        <v>31</v>
      </c>
      <c r="O29" s="59" t="s">
        <v>1373</v>
      </c>
    </row>
    <row r="30" spans="1:16" ht="16.5" customHeight="1">
      <c r="A30" t="s">
        <v>403</v>
      </c>
      <c r="B30" s="23">
        <v>-0.2</v>
      </c>
      <c r="D30" t="s">
        <v>37</v>
      </c>
      <c r="E30" s="88" t="s">
        <v>40</v>
      </c>
      <c r="F30" s="59" t="s">
        <v>1851</v>
      </c>
      <c r="G30" t="s">
        <v>59</v>
      </c>
      <c r="H30" t="s">
        <v>33</v>
      </c>
      <c r="I30">
        <v>0</v>
      </c>
      <c r="J30" t="s">
        <v>31</v>
      </c>
      <c r="K30" t="s">
        <v>31</v>
      </c>
      <c r="L30" t="s">
        <v>31</v>
      </c>
      <c r="M30" t="s">
        <v>31</v>
      </c>
      <c r="N30" t="s">
        <v>31</v>
      </c>
      <c r="O30" s="59" t="s">
        <v>1595</v>
      </c>
    </row>
    <row r="31" spans="1:16" s="70" customFormat="1" ht="15.6">
      <c r="A31" s="178" t="s">
        <v>5</v>
      </c>
      <c r="B31" s="178" t="s">
        <v>1855</v>
      </c>
      <c r="C31" s="178"/>
      <c r="D31" s="69"/>
      <c r="E31" s="144"/>
      <c r="F31" s="144"/>
      <c r="G31" s="144"/>
      <c r="H31" s="144"/>
      <c r="I31" s="144"/>
      <c r="J31" s="144"/>
      <c r="K31" s="144"/>
      <c r="L31" s="144"/>
      <c r="M31" s="144"/>
      <c r="N31" s="144"/>
      <c r="O31" s="144"/>
      <c r="P31" s="144"/>
    </row>
    <row r="32" spans="1:16">
      <c r="A32" s="59" t="s">
        <v>7</v>
      </c>
      <c r="B32" s="59" t="s">
        <v>1849</v>
      </c>
      <c r="C32" s="59"/>
      <c r="D32" s="59"/>
      <c r="E32" s="59"/>
      <c r="F32" s="59"/>
      <c r="G32" s="59"/>
      <c r="H32" s="59"/>
      <c r="I32" s="59"/>
      <c r="J32" s="59"/>
      <c r="K32" s="59"/>
      <c r="L32" s="59"/>
      <c r="M32" s="59"/>
      <c r="N32" s="59"/>
      <c r="O32" s="59"/>
      <c r="P32" s="59"/>
    </row>
    <row r="33" spans="1:25">
      <c r="A33" s="59" t="s">
        <v>9</v>
      </c>
      <c r="B33" s="201" t="s">
        <v>1856</v>
      </c>
      <c r="C33" s="59"/>
      <c r="D33" s="59"/>
      <c r="E33" s="59"/>
      <c r="F33" s="59"/>
      <c r="G33" s="59"/>
      <c r="H33" s="59"/>
      <c r="I33" s="59"/>
      <c r="J33" s="59"/>
      <c r="K33" s="59"/>
      <c r="L33" s="59"/>
      <c r="M33" s="59"/>
      <c r="N33" s="59"/>
      <c r="O33" s="59"/>
      <c r="P33" s="59"/>
    </row>
    <row r="34" spans="1:25">
      <c r="A34" s="59" t="s">
        <v>11</v>
      </c>
      <c r="B34" s="59" t="s">
        <v>1590</v>
      </c>
      <c r="C34" s="59"/>
      <c r="D34" s="59"/>
      <c r="E34" s="59"/>
      <c r="F34" s="59"/>
      <c r="G34" s="59"/>
      <c r="H34" s="59"/>
      <c r="I34" s="59"/>
      <c r="J34" s="59"/>
      <c r="K34" s="59"/>
      <c r="L34" s="59"/>
      <c r="M34" s="59"/>
      <c r="N34" s="59"/>
      <c r="O34" s="59"/>
      <c r="P34" s="59"/>
    </row>
    <row r="35" spans="1:25">
      <c r="A35" s="59" t="s">
        <v>13</v>
      </c>
      <c r="B35" s="59" t="s">
        <v>59</v>
      </c>
      <c r="C35" s="59"/>
      <c r="D35" s="59"/>
      <c r="E35" s="59"/>
      <c r="F35" s="59"/>
      <c r="G35" s="59"/>
      <c r="H35" s="59"/>
      <c r="I35" s="59"/>
      <c r="J35" s="59"/>
      <c r="K35" s="59"/>
      <c r="L35" s="59"/>
      <c r="M35" s="59"/>
      <c r="N35" s="59"/>
      <c r="O35" s="59"/>
      <c r="P35" s="59"/>
    </row>
    <row r="36" spans="1:25">
      <c r="A36" s="59" t="s">
        <v>15</v>
      </c>
      <c r="B36" s="59">
        <v>1</v>
      </c>
      <c r="C36" s="59"/>
      <c r="D36" s="59"/>
      <c r="E36" s="59"/>
      <c r="F36" s="59"/>
      <c r="G36" s="59"/>
      <c r="H36" s="59"/>
      <c r="I36" s="59"/>
      <c r="J36" s="59"/>
      <c r="K36" s="59"/>
      <c r="L36" s="59"/>
      <c r="M36" s="59"/>
      <c r="N36" s="59"/>
      <c r="O36" s="59"/>
      <c r="P36" s="59"/>
    </row>
    <row r="37" spans="1:25">
      <c r="A37" s="59" t="s">
        <v>16</v>
      </c>
      <c r="B37" s="59" t="s">
        <v>17</v>
      </c>
      <c r="C37" s="59"/>
      <c r="D37" s="59"/>
      <c r="E37" s="59"/>
      <c r="F37" s="59"/>
      <c r="G37" s="59"/>
      <c r="H37" s="59"/>
      <c r="I37" s="59"/>
      <c r="J37" s="59"/>
      <c r="K37" s="59"/>
      <c r="L37" s="59"/>
      <c r="M37" s="59"/>
      <c r="N37" s="59"/>
      <c r="O37" s="59"/>
      <c r="P37" s="59"/>
    </row>
    <row r="38" spans="1:25" ht="15.6">
      <c r="A38" s="59" t="s">
        <v>18</v>
      </c>
      <c r="B38" s="180" t="s">
        <v>37</v>
      </c>
      <c r="C38" s="59"/>
      <c r="D38" s="59"/>
      <c r="E38" s="59" t="s">
        <v>235</v>
      </c>
      <c r="F38" s="59"/>
      <c r="G38" s="59"/>
      <c r="H38" s="59"/>
      <c r="I38" s="59"/>
      <c r="J38" s="59"/>
      <c r="K38" s="59"/>
      <c r="L38" s="59"/>
      <c r="M38" s="59"/>
      <c r="N38" s="59"/>
      <c r="O38" s="59"/>
      <c r="P38" s="59"/>
    </row>
    <row r="39" spans="1:25" ht="15.6">
      <c r="A39" s="181" t="s">
        <v>19</v>
      </c>
      <c r="B39" s="59"/>
      <c r="C39" s="59"/>
      <c r="D39" s="59"/>
      <c r="E39" s="59"/>
      <c r="F39" s="59"/>
      <c r="G39" s="59"/>
      <c r="H39" s="59"/>
      <c r="I39" s="59"/>
      <c r="J39" s="59"/>
      <c r="K39" s="59"/>
      <c r="L39" s="59"/>
      <c r="M39" s="59"/>
      <c r="N39" s="59"/>
      <c r="O39" s="59"/>
      <c r="P39" s="59"/>
    </row>
    <row r="40" spans="1:25" ht="15.6">
      <c r="A40" s="181" t="s">
        <v>20</v>
      </c>
      <c r="B40" s="181" t="s">
        <v>21</v>
      </c>
      <c r="C40" s="181" t="s">
        <v>217</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702</v>
      </c>
    </row>
    <row r="41" spans="1:25" ht="15.6">
      <c r="A41" s="180" t="str">
        <f>B31</f>
        <v>treatment of copper, motors and drives, PEMFC-bat, Long-Term</v>
      </c>
      <c r="B41" s="180">
        <v>1</v>
      </c>
      <c r="C41" s="180"/>
      <c r="D41" s="180" t="s">
        <v>37</v>
      </c>
      <c r="E41" s="59" t="s">
        <v>2</v>
      </c>
      <c r="F41" s="59" t="s">
        <v>1851</v>
      </c>
      <c r="G41" s="180" t="s">
        <v>59</v>
      </c>
      <c r="H41" s="59" t="s">
        <v>30</v>
      </c>
      <c r="I41" s="59">
        <v>0</v>
      </c>
      <c r="J41" s="180" t="s">
        <v>31</v>
      </c>
      <c r="K41" s="180" t="s">
        <v>31</v>
      </c>
      <c r="L41" s="180" t="s">
        <v>31</v>
      </c>
      <c r="M41" s="180" t="s">
        <v>31</v>
      </c>
      <c r="N41" s="180" t="s">
        <v>31</v>
      </c>
      <c r="O41" s="59" t="s">
        <v>1854</v>
      </c>
      <c r="P41" s="59"/>
    </row>
    <row r="42" spans="1:25">
      <c r="A42" s="204" t="s">
        <v>442</v>
      </c>
      <c r="B42" s="23">
        <f>0.8</f>
        <v>0.8</v>
      </c>
      <c r="C42" s="112" t="s">
        <v>443</v>
      </c>
      <c r="D42" s="22" t="s">
        <v>37</v>
      </c>
      <c r="E42" s="22" t="s">
        <v>40</v>
      </c>
      <c r="F42" s="59" t="s">
        <v>1851</v>
      </c>
      <c r="G42" s="22" t="s">
        <v>82</v>
      </c>
      <c r="H42" s="22" t="s">
        <v>33</v>
      </c>
      <c r="I42">
        <v>0</v>
      </c>
      <c r="J42" t="s">
        <v>31</v>
      </c>
      <c r="K42" t="s">
        <v>31</v>
      </c>
      <c r="L42" t="s">
        <v>31</v>
      </c>
      <c r="M42" t="s">
        <v>31</v>
      </c>
      <c r="N42" t="s">
        <v>31</v>
      </c>
      <c r="O42" t="s">
        <v>401</v>
      </c>
      <c r="P42" s="22"/>
      <c r="Q42" s="22"/>
      <c r="R42" s="22"/>
      <c r="S42" s="22"/>
      <c r="T42" s="22"/>
      <c r="U42" s="22"/>
      <c r="V42" s="22"/>
      <c r="W42" s="22"/>
      <c r="X42" s="22"/>
      <c r="Y42" s="22"/>
    </row>
    <row r="43" spans="1:25">
      <c r="A43" s="204" t="s">
        <v>1372</v>
      </c>
      <c r="B43" s="23">
        <f>0.8*0.9</f>
        <v>0.72000000000000008</v>
      </c>
      <c r="C43" s="22"/>
      <c r="D43" s="22" t="s">
        <v>37</v>
      </c>
      <c r="E43" s="22" t="s">
        <v>40</v>
      </c>
      <c r="F43" s="59" t="s">
        <v>1851</v>
      </c>
      <c r="G43" s="22" t="s">
        <v>59</v>
      </c>
      <c r="H43" s="22" t="s">
        <v>136</v>
      </c>
      <c r="I43">
        <v>0</v>
      </c>
      <c r="J43" t="s">
        <v>31</v>
      </c>
      <c r="K43" t="s">
        <v>31</v>
      </c>
      <c r="L43" t="s">
        <v>31</v>
      </c>
      <c r="M43" t="s">
        <v>31</v>
      </c>
      <c r="N43" t="s">
        <v>31</v>
      </c>
      <c r="O43" s="59" t="s">
        <v>1373</v>
      </c>
      <c r="P43" s="22"/>
      <c r="Q43" s="22"/>
      <c r="R43" s="22"/>
      <c r="S43" s="22"/>
      <c r="T43" s="22"/>
      <c r="U43" s="22"/>
      <c r="V43" s="22"/>
      <c r="W43" s="22"/>
      <c r="X43" s="22"/>
      <c r="Y43" s="22"/>
    </row>
    <row r="44" spans="1:25" ht="16.5" customHeight="1">
      <c r="A44" t="s">
        <v>403</v>
      </c>
      <c r="B44" s="23">
        <v>-0.2</v>
      </c>
      <c r="D44" t="s">
        <v>37</v>
      </c>
      <c r="E44" s="88" t="s">
        <v>40</v>
      </c>
      <c r="F44" s="59" t="s">
        <v>1851</v>
      </c>
      <c r="G44" t="s">
        <v>59</v>
      </c>
      <c r="H44" t="s">
        <v>33</v>
      </c>
      <c r="I44">
        <v>0</v>
      </c>
      <c r="J44" t="s">
        <v>31</v>
      </c>
      <c r="K44" t="s">
        <v>31</v>
      </c>
      <c r="L44" t="s">
        <v>31</v>
      </c>
      <c r="M44" t="s">
        <v>31</v>
      </c>
      <c r="N44" t="s">
        <v>31</v>
      </c>
      <c r="O44" s="59" t="s">
        <v>1595</v>
      </c>
    </row>
    <row r="45" spans="1:25" s="70" customFormat="1" ht="15.6">
      <c r="A45" s="178" t="s">
        <v>5</v>
      </c>
      <c r="B45" s="178" t="s">
        <v>1857</v>
      </c>
      <c r="C45" s="178"/>
      <c r="D45" s="69"/>
      <c r="E45" s="144"/>
      <c r="F45" s="144"/>
      <c r="G45" s="144"/>
      <c r="H45" s="144"/>
      <c r="I45" s="144"/>
      <c r="J45" s="144"/>
      <c r="K45" s="144"/>
      <c r="L45" s="144"/>
      <c r="M45" s="144"/>
      <c r="N45" s="144"/>
      <c r="O45" s="144"/>
      <c r="P45" s="144"/>
    </row>
    <row r="46" spans="1:25">
      <c r="A46" s="59" t="s">
        <v>7</v>
      </c>
      <c r="B46" s="59" t="s">
        <v>1849</v>
      </c>
      <c r="C46" s="59"/>
      <c r="D46" s="59"/>
      <c r="E46" s="59"/>
      <c r="F46" s="59"/>
      <c r="G46" s="59"/>
      <c r="H46" s="59"/>
      <c r="I46" s="59"/>
      <c r="J46" s="59"/>
      <c r="K46" s="59"/>
      <c r="L46" s="59"/>
      <c r="M46" s="59"/>
      <c r="N46" s="59"/>
      <c r="O46" s="59"/>
      <c r="P46" s="59"/>
    </row>
    <row r="47" spans="1:25">
      <c r="A47" s="59" t="s">
        <v>9</v>
      </c>
      <c r="B47" s="201" t="s">
        <v>1858</v>
      </c>
      <c r="C47" s="59"/>
      <c r="D47" s="59"/>
      <c r="E47" s="59"/>
      <c r="F47" s="59"/>
      <c r="G47" s="59"/>
      <c r="H47" s="59"/>
      <c r="I47" s="59"/>
      <c r="J47" s="59"/>
      <c r="K47" s="59"/>
      <c r="L47" s="59"/>
      <c r="M47" s="59"/>
      <c r="N47" s="59"/>
      <c r="O47" s="59"/>
      <c r="P47" s="59"/>
    </row>
    <row r="48" spans="1:25">
      <c r="A48" s="59" t="s">
        <v>11</v>
      </c>
      <c r="B48" s="59" t="s">
        <v>1590</v>
      </c>
      <c r="C48" s="59"/>
      <c r="D48" s="59"/>
      <c r="E48" s="59"/>
      <c r="F48" s="59"/>
      <c r="G48" s="59"/>
      <c r="H48" s="59"/>
      <c r="I48" s="59"/>
      <c r="J48" s="59"/>
      <c r="K48" s="59"/>
      <c r="L48" s="59"/>
      <c r="M48" s="59"/>
      <c r="N48" s="59"/>
      <c r="O48" s="59"/>
      <c r="P48" s="59"/>
    </row>
    <row r="49" spans="1:16">
      <c r="A49" s="59" t="s">
        <v>13</v>
      </c>
      <c r="B49" s="59" t="s">
        <v>59</v>
      </c>
      <c r="C49" s="59"/>
      <c r="D49" s="59"/>
      <c r="E49" s="59"/>
      <c r="F49" s="59"/>
      <c r="G49" s="59"/>
      <c r="H49" s="59"/>
      <c r="I49" s="59"/>
      <c r="J49" s="59"/>
      <c r="K49" s="59"/>
      <c r="L49" s="59"/>
      <c r="M49" s="59"/>
      <c r="N49" s="59"/>
      <c r="O49" s="59"/>
      <c r="P49" s="59"/>
    </row>
    <row r="50" spans="1:16">
      <c r="A50" s="59" t="s">
        <v>15</v>
      </c>
      <c r="B50" s="59">
        <v>1</v>
      </c>
      <c r="C50" s="59"/>
      <c r="D50" s="59"/>
      <c r="E50" s="59"/>
      <c r="F50" s="59"/>
      <c r="G50" s="59"/>
      <c r="H50" s="59"/>
      <c r="I50" s="59"/>
      <c r="J50" s="59"/>
      <c r="K50" s="59"/>
      <c r="L50" s="59"/>
      <c r="M50" s="59"/>
      <c r="N50" s="59"/>
      <c r="O50" s="59"/>
      <c r="P50" s="59"/>
    </row>
    <row r="51" spans="1:16">
      <c r="A51" s="59" t="s">
        <v>16</v>
      </c>
      <c r="B51" s="59" t="s">
        <v>17</v>
      </c>
      <c r="C51" s="59"/>
      <c r="D51" s="59"/>
      <c r="E51" s="59"/>
      <c r="F51" s="59"/>
      <c r="G51" s="59"/>
      <c r="H51" s="59"/>
      <c r="I51" s="59"/>
      <c r="J51" s="59"/>
      <c r="K51" s="59"/>
      <c r="L51" s="59"/>
      <c r="M51" s="59"/>
      <c r="N51" s="59"/>
      <c r="O51" s="59"/>
      <c r="P51" s="59"/>
    </row>
    <row r="52" spans="1:16" ht="15.6">
      <c r="A52" s="59" t="s">
        <v>18</v>
      </c>
      <c r="B52" s="180" t="s">
        <v>37</v>
      </c>
      <c r="C52" s="59"/>
      <c r="D52" s="59"/>
      <c r="E52" s="59" t="s">
        <v>235</v>
      </c>
      <c r="F52" s="59"/>
      <c r="G52" s="59"/>
      <c r="H52" s="59"/>
      <c r="I52" s="59"/>
      <c r="J52" s="59"/>
      <c r="K52" s="59"/>
      <c r="L52" s="59"/>
      <c r="M52" s="59"/>
      <c r="N52" s="59"/>
      <c r="O52" s="59"/>
      <c r="P52" s="59"/>
    </row>
    <row r="53" spans="1:16" ht="15.6">
      <c r="A53" s="181" t="s">
        <v>19</v>
      </c>
      <c r="B53" s="59"/>
      <c r="C53" s="59"/>
      <c r="D53" s="59"/>
      <c r="E53" s="59"/>
      <c r="F53" s="59"/>
      <c r="G53" s="59"/>
      <c r="H53" s="59"/>
      <c r="I53" s="59"/>
      <c r="J53" s="59"/>
      <c r="K53" s="59"/>
      <c r="L53" s="59"/>
      <c r="M53" s="59"/>
      <c r="N53" s="59"/>
      <c r="O53" s="59"/>
      <c r="P53" s="59"/>
    </row>
    <row r="54" spans="1:16" ht="15.6">
      <c r="A54" s="181" t="s">
        <v>20</v>
      </c>
      <c r="B54" s="181" t="s">
        <v>21</v>
      </c>
      <c r="C54" s="181" t="s">
        <v>217</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702</v>
      </c>
    </row>
    <row r="55" spans="1:16" ht="15.6">
      <c r="A55" s="180" t="str">
        <f>B45</f>
        <v>treatment of permanent magnet, motors and drives, PEMFC-bat, Long-Term</v>
      </c>
      <c r="B55" s="180">
        <v>1</v>
      </c>
      <c r="C55" s="180"/>
      <c r="D55" s="180" t="s">
        <v>37</v>
      </c>
      <c r="E55" s="59" t="s">
        <v>2</v>
      </c>
      <c r="F55" s="59" t="s">
        <v>1851</v>
      </c>
      <c r="G55" s="180" t="s">
        <v>59</v>
      </c>
      <c r="H55" s="59" t="s">
        <v>30</v>
      </c>
      <c r="I55" s="59">
        <v>0</v>
      </c>
      <c r="J55" s="180" t="s">
        <v>31</v>
      </c>
      <c r="K55" s="180" t="s">
        <v>31</v>
      </c>
      <c r="L55" s="180" t="s">
        <v>31</v>
      </c>
      <c r="M55" s="180" t="s">
        <v>31</v>
      </c>
      <c r="N55" s="180" t="s">
        <v>31</v>
      </c>
      <c r="O55" s="59" t="s">
        <v>1859</v>
      </c>
      <c r="P55" s="59"/>
    </row>
    <row r="56" spans="1:16" ht="15.6">
      <c r="A56" s="88" t="s">
        <v>1860</v>
      </c>
      <c r="B56">
        <v>-1</v>
      </c>
      <c r="C56" s="180" t="s">
        <v>1861</v>
      </c>
      <c r="D56" s="180" t="s">
        <v>37</v>
      </c>
      <c r="E56" s="192" t="s">
        <v>40</v>
      </c>
      <c r="F56" s="59" t="s">
        <v>1851</v>
      </c>
      <c r="G56" s="180" t="s">
        <v>59</v>
      </c>
      <c r="H56" t="s">
        <v>33</v>
      </c>
      <c r="I56" s="59">
        <v>0</v>
      </c>
      <c r="J56" s="180" t="s">
        <v>31</v>
      </c>
      <c r="K56" s="180" t="s">
        <v>31</v>
      </c>
      <c r="L56" s="180" t="s">
        <v>31</v>
      </c>
      <c r="M56" s="180" t="s">
        <v>31</v>
      </c>
      <c r="N56" s="180" t="s">
        <v>31</v>
      </c>
      <c r="O56" t="s">
        <v>1862</v>
      </c>
    </row>
    <row r="57" spans="1:16" ht="15.6">
      <c r="A57" s="192" t="s">
        <v>709</v>
      </c>
      <c r="B57">
        <f>0.65</f>
        <v>0.65</v>
      </c>
      <c r="D57" s="180" t="s">
        <v>37</v>
      </c>
      <c r="E57" s="192" t="s">
        <v>40</v>
      </c>
      <c r="F57" s="59" t="s">
        <v>1851</v>
      </c>
      <c r="G57" s="192" t="s">
        <v>59</v>
      </c>
      <c r="H57" s="192" t="s">
        <v>136</v>
      </c>
      <c r="I57" s="59">
        <v>0</v>
      </c>
      <c r="J57" s="180" t="s">
        <v>31</v>
      </c>
      <c r="K57" s="180" t="s">
        <v>31</v>
      </c>
      <c r="L57" s="180" t="s">
        <v>31</v>
      </c>
      <c r="M57" s="180" t="s">
        <v>31</v>
      </c>
      <c r="N57" s="180" t="s">
        <v>31</v>
      </c>
      <c r="O57" t="s">
        <v>1863</v>
      </c>
    </row>
    <row r="58" spans="1:16" ht="15.6">
      <c r="A58" s="88" t="s">
        <v>1864</v>
      </c>
      <c r="B58" s="192">
        <f>-(1-B57)</f>
        <v>-0.35</v>
      </c>
      <c r="C58" s="192"/>
      <c r="D58" s="180" t="s">
        <v>37</v>
      </c>
      <c r="E58" s="192" t="s">
        <v>40</v>
      </c>
      <c r="F58" s="59" t="s">
        <v>1851</v>
      </c>
      <c r="G58" s="192" t="s">
        <v>59</v>
      </c>
      <c r="H58" t="s">
        <v>33</v>
      </c>
      <c r="I58" s="59">
        <v>0</v>
      </c>
      <c r="J58" s="180" t="s">
        <v>31</v>
      </c>
      <c r="K58" s="180" t="s">
        <v>31</v>
      </c>
      <c r="L58" s="180" t="s">
        <v>31</v>
      </c>
      <c r="M58" s="180" t="s">
        <v>31</v>
      </c>
      <c r="N58" s="180" t="s">
        <v>31</v>
      </c>
      <c r="O58" s="180" t="s">
        <v>1865</v>
      </c>
    </row>
    <row r="59" spans="1:16" s="185" customFormat="1" ht="15.6">
      <c r="A59" s="182" t="s">
        <v>5</v>
      </c>
      <c r="B59" s="182" t="s">
        <v>1866</v>
      </c>
      <c r="C59" s="182"/>
      <c r="D59" s="183"/>
      <c r="E59" s="184"/>
      <c r="F59" s="184"/>
      <c r="G59" s="184"/>
      <c r="H59" s="184"/>
      <c r="I59" s="184"/>
      <c r="J59" s="184"/>
      <c r="K59" s="184"/>
      <c r="L59" s="184"/>
      <c r="M59" s="184"/>
      <c r="N59" s="184"/>
      <c r="O59" s="184"/>
      <c r="P59" s="184"/>
    </row>
    <row r="60" spans="1:16">
      <c r="A60" s="59" t="s">
        <v>7</v>
      </c>
      <c r="B60" s="59" t="s">
        <v>1849</v>
      </c>
      <c r="C60" s="59"/>
      <c r="D60" s="59"/>
      <c r="E60" s="59"/>
      <c r="F60" s="59"/>
      <c r="G60" s="59"/>
      <c r="H60" s="59"/>
      <c r="I60" s="59"/>
      <c r="J60" s="59"/>
      <c r="K60" s="59"/>
      <c r="L60" s="59"/>
      <c r="M60" s="59"/>
      <c r="N60" s="59"/>
      <c r="O60" s="59"/>
      <c r="P60" s="59"/>
    </row>
    <row r="61" spans="1:16">
      <c r="A61" s="59" t="s">
        <v>9</v>
      </c>
      <c r="B61" s="201" t="s">
        <v>1867</v>
      </c>
      <c r="C61" s="59"/>
      <c r="D61" s="59"/>
      <c r="E61" s="59"/>
      <c r="F61" s="59"/>
      <c r="G61" s="59"/>
      <c r="H61" s="59"/>
      <c r="I61" s="59"/>
      <c r="J61" s="59"/>
      <c r="K61" s="59"/>
      <c r="L61" s="59"/>
      <c r="M61" s="59"/>
      <c r="N61" s="59"/>
      <c r="O61" s="59"/>
      <c r="P61" s="59"/>
    </row>
    <row r="62" spans="1:16">
      <c r="A62" s="59" t="s">
        <v>11</v>
      </c>
      <c r="B62" s="59" t="s">
        <v>1868</v>
      </c>
      <c r="C62" s="59"/>
      <c r="D62" s="59"/>
      <c r="E62" s="59"/>
      <c r="F62" s="59"/>
      <c r="G62" s="59"/>
      <c r="H62" s="59"/>
      <c r="I62" s="59"/>
      <c r="J62" s="59"/>
      <c r="K62" s="59"/>
      <c r="L62" s="59"/>
      <c r="M62" s="59"/>
      <c r="N62" s="59"/>
      <c r="O62" s="59"/>
      <c r="P62" s="59"/>
    </row>
    <row r="63" spans="1:16">
      <c r="A63" s="59" t="s">
        <v>13</v>
      </c>
      <c r="B63" s="59" t="s">
        <v>59</v>
      </c>
      <c r="C63" s="59"/>
      <c r="D63" s="59"/>
      <c r="E63" s="59"/>
      <c r="F63" s="59"/>
      <c r="G63" s="59"/>
      <c r="H63" s="59"/>
      <c r="I63" s="59"/>
      <c r="J63" s="59"/>
      <c r="K63" s="59"/>
      <c r="L63" s="59"/>
      <c r="M63" s="59"/>
      <c r="N63" s="59"/>
      <c r="O63" s="59"/>
      <c r="P63" s="59"/>
    </row>
    <row r="64" spans="1:16">
      <c r="A64" s="59" t="s">
        <v>15</v>
      </c>
      <c r="B64" s="59">
        <v>1</v>
      </c>
      <c r="C64" s="59"/>
      <c r="D64" s="59"/>
      <c r="E64" s="59"/>
      <c r="F64" s="59"/>
      <c r="G64" s="59"/>
      <c r="H64" s="59"/>
      <c r="I64" s="59"/>
      <c r="J64" s="59"/>
      <c r="K64" s="59"/>
      <c r="L64" s="59"/>
      <c r="M64" s="59"/>
      <c r="N64" s="59"/>
      <c r="O64" s="59"/>
      <c r="P64" s="59"/>
    </row>
    <row r="65" spans="1:16">
      <c r="A65" s="59" t="s">
        <v>16</v>
      </c>
      <c r="B65" s="59" t="s">
        <v>17</v>
      </c>
      <c r="C65" s="59"/>
      <c r="D65" s="59"/>
      <c r="E65" s="59"/>
      <c r="F65" s="59"/>
      <c r="G65" s="59"/>
      <c r="H65" s="59"/>
      <c r="I65" s="59"/>
      <c r="J65" s="59"/>
      <c r="K65" s="59"/>
      <c r="L65" s="59"/>
      <c r="M65" s="59"/>
      <c r="N65" s="59"/>
      <c r="O65" s="59"/>
      <c r="P65" s="59"/>
    </row>
    <row r="66" spans="1:16" ht="15.6">
      <c r="A66" s="59" t="s">
        <v>18</v>
      </c>
      <c r="B66" s="180" t="s">
        <v>18</v>
      </c>
      <c r="C66" s="59"/>
      <c r="D66" s="59"/>
      <c r="E66" s="59" t="s">
        <v>235</v>
      </c>
      <c r="F66" s="59"/>
      <c r="G66" s="59"/>
      <c r="H66" s="59"/>
      <c r="I66" s="59"/>
      <c r="J66" s="59"/>
      <c r="K66" s="59"/>
      <c r="L66" s="59"/>
      <c r="M66" s="59"/>
      <c r="N66" s="59"/>
      <c r="O66" s="59"/>
      <c r="P66" s="59"/>
    </row>
    <row r="67" spans="1:16" ht="15.6">
      <c r="A67" s="181" t="s">
        <v>19</v>
      </c>
      <c r="B67" s="59"/>
      <c r="C67" s="59"/>
      <c r="D67" s="59"/>
      <c r="E67" s="59"/>
      <c r="F67" s="59"/>
      <c r="G67" s="59"/>
      <c r="H67" s="59"/>
      <c r="I67" s="59"/>
      <c r="J67" s="59"/>
      <c r="K67" s="59"/>
      <c r="L67" s="59"/>
      <c r="M67" s="59"/>
      <c r="N67" s="59"/>
      <c r="O67" s="59"/>
      <c r="P67" s="59"/>
    </row>
    <row r="68" spans="1:16" ht="15.6">
      <c r="A68" s="181" t="s">
        <v>20</v>
      </c>
      <c r="B68" s="181" t="s">
        <v>21</v>
      </c>
      <c r="C68" s="181" t="s">
        <v>217</v>
      </c>
      <c r="D68" s="181" t="s">
        <v>18</v>
      </c>
      <c r="E68" s="181" t="s">
        <v>22</v>
      </c>
      <c r="F68" s="181" t="s">
        <v>7</v>
      </c>
      <c r="G68" s="181" t="s">
        <v>13</v>
      </c>
      <c r="H68" s="181" t="s">
        <v>16</v>
      </c>
      <c r="I68" s="181" t="s">
        <v>23</v>
      </c>
      <c r="J68" s="181" t="s">
        <v>24</v>
      </c>
      <c r="K68" s="181" t="s">
        <v>25</v>
      </c>
      <c r="L68" s="181" t="s">
        <v>26</v>
      </c>
      <c r="M68" s="181" t="s">
        <v>27</v>
      </c>
      <c r="N68" s="181" t="s">
        <v>28</v>
      </c>
      <c r="O68" s="181" t="s">
        <v>11</v>
      </c>
      <c r="P68" s="181" t="s">
        <v>702</v>
      </c>
    </row>
    <row r="69" spans="1:16" ht="15.6">
      <c r="A69" s="180" t="str">
        <f>$B$59</f>
        <v>treatment of motor, motors and drives, PEMFC-bat, Long-Term</v>
      </c>
      <c r="B69" s="180">
        <v>1</v>
      </c>
      <c r="C69" s="180"/>
      <c r="D69" s="180" t="s">
        <v>18</v>
      </c>
      <c r="E69" s="59" t="s">
        <v>2</v>
      </c>
      <c r="F69" s="59" t="s">
        <v>1851</v>
      </c>
      <c r="G69" s="180" t="s">
        <v>59</v>
      </c>
      <c r="H69" s="59" t="s">
        <v>30</v>
      </c>
      <c r="I69" s="59">
        <v>0</v>
      </c>
      <c r="J69" s="180" t="s">
        <v>31</v>
      </c>
      <c r="K69" s="180" t="s">
        <v>31</v>
      </c>
      <c r="L69" s="180" t="s">
        <v>31</v>
      </c>
      <c r="M69" s="180" t="s">
        <v>31</v>
      </c>
      <c r="N69" s="180" t="s">
        <v>31</v>
      </c>
      <c r="O69" s="59"/>
      <c r="P69" s="59"/>
    </row>
    <row r="70" spans="1:16" ht="15.6">
      <c r="A70" t="str">
        <f>$A$12</f>
        <v>treatment of steel, motors and drives, PEMFC-bat, Long-Term</v>
      </c>
      <c r="B70">
        <v>42.317409999999995</v>
      </c>
      <c r="D70" t="s">
        <v>37</v>
      </c>
      <c r="E70" s="59" t="s">
        <v>2</v>
      </c>
      <c r="F70" s="59" t="s">
        <v>1851</v>
      </c>
      <c r="G70" s="180" t="s">
        <v>59</v>
      </c>
      <c r="H70" s="59" t="s">
        <v>33</v>
      </c>
      <c r="I70" s="59">
        <v>0</v>
      </c>
      <c r="J70" s="180" t="s">
        <v>31</v>
      </c>
      <c r="K70" s="180" t="s">
        <v>31</v>
      </c>
      <c r="L70" s="180" t="s">
        <v>31</v>
      </c>
      <c r="M70" s="180" t="s">
        <v>31</v>
      </c>
      <c r="N70" s="180" t="s">
        <v>31</v>
      </c>
    </row>
    <row r="71" spans="1:16" ht="15.6">
      <c r="A71" t="str">
        <f>$B$16</f>
        <v>treatment of aluminium, motors and drives, PEMFC-bat, Long-Term</v>
      </c>
      <c r="B71">
        <v>13.24</v>
      </c>
      <c r="D71" t="s">
        <v>37</v>
      </c>
      <c r="E71" s="59" t="s">
        <v>2</v>
      </c>
      <c r="F71" s="59" t="s">
        <v>1851</v>
      </c>
      <c r="G71" s="180" t="s">
        <v>59</v>
      </c>
      <c r="H71" s="59" t="s">
        <v>33</v>
      </c>
      <c r="I71" s="59">
        <v>0</v>
      </c>
      <c r="J71" s="180" t="s">
        <v>31</v>
      </c>
      <c r="K71" s="180" t="s">
        <v>31</v>
      </c>
      <c r="L71" s="180" t="s">
        <v>31</v>
      </c>
      <c r="M71" s="180" t="s">
        <v>31</v>
      </c>
      <c r="N71" s="180" t="s">
        <v>31</v>
      </c>
    </row>
    <row r="72" spans="1:16" ht="15.6">
      <c r="A72" t="str">
        <f>$B$31</f>
        <v>treatment of copper, motors and drives, PEMFC-bat, Long-Term</v>
      </c>
      <c r="B72">
        <v>8.0805000000000007</v>
      </c>
      <c r="D72" t="s">
        <v>37</v>
      </c>
      <c r="E72" s="59" t="s">
        <v>2</v>
      </c>
      <c r="F72" s="59" t="s">
        <v>1851</v>
      </c>
      <c r="G72" s="180" t="s">
        <v>59</v>
      </c>
      <c r="H72" s="59" t="s">
        <v>33</v>
      </c>
      <c r="I72" s="59">
        <v>0</v>
      </c>
      <c r="J72" s="180" t="s">
        <v>31</v>
      </c>
      <c r="K72" s="180" t="s">
        <v>31</v>
      </c>
      <c r="L72" s="180" t="s">
        <v>31</v>
      </c>
      <c r="M72" s="180" t="s">
        <v>31</v>
      </c>
      <c r="N72" s="180" t="s">
        <v>31</v>
      </c>
    </row>
    <row r="73" spans="1:16" ht="15.6">
      <c r="A73" t="str">
        <f>$B$45</f>
        <v>treatment of permanent magnet, motors and drives, PEMFC-bat, Long-Term</v>
      </c>
      <c r="B73" s="192">
        <v>2.3637600000000001</v>
      </c>
      <c r="D73" t="s">
        <v>37</v>
      </c>
      <c r="E73" s="59" t="s">
        <v>2</v>
      </c>
      <c r="F73" s="59" t="s">
        <v>1851</v>
      </c>
      <c r="G73" s="180" t="s">
        <v>59</v>
      </c>
      <c r="H73" s="59" t="s">
        <v>33</v>
      </c>
      <c r="I73" s="59">
        <v>0</v>
      </c>
      <c r="J73" s="180" t="s">
        <v>31</v>
      </c>
      <c r="K73" s="180" t="s">
        <v>31</v>
      </c>
      <c r="L73" s="180" t="s">
        <v>31</v>
      </c>
      <c r="M73" s="180" t="s">
        <v>31</v>
      </c>
      <c r="N73" s="180" t="s">
        <v>31</v>
      </c>
    </row>
    <row r="74" spans="1:16" s="70" customFormat="1" ht="15.6">
      <c r="A74" s="178" t="s">
        <v>5</v>
      </c>
      <c r="B74" s="178" t="s">
        <v>1869</v>
      </c>
      <c r="C74" s="178"/>
      <c r="D74" s="69"/>
      <c r="E74" s="144"/>
      <c r="F74" s="144"/>
      <c r="G74" s="144"/>
      <c r="H74" s="144"/>
      <c r="I74" s="144"/>
      <c r="J74" s="144"/>
      <c r="K74" s="144"/>
      <c r="L74" s="144"/>
      <c r="M74" s="144"/>
      <c r="N74" s="144"/>
      <c r="O74" s="144"/>
      <c r="P74" s="144"/>
    </row>
    <row r="75" spans="1:16">
      <c r="A75" s="59" t="s">
        <v>7</v>
      </c>
      <c r="B75" s="59" t="s">
        <v>1849</v>
      </c>
      <c r="C75" s="59"/>
      <c r="D75" s="59"/>
      <c r="E75" s="59"/>
      <c r="F75" s="59"/>
      <c r="G75" s="59"/>
      <c r="H75" s="59"/>
      <c r="I75" s="59"/>
      <c r="J75" s="59"/>
      <c r="K75" s="59"/>
      <c r="L75" s="59"/>
      <c r="M75" s="59"/>
      <c r="N75" s="59"/>
      <c r="O75" s="59"/>
      <c r="P75" s="59"/>
    </row>
    <row r="76" spans="1:16">
      <c r="A76" s="59" t="s">
        <v>9</v>
      </c>
      <c r="B76" s="201" t="s">
        <v>1870</v>
      </c>
      <c r="C76" s="59"/>
      <c r="D76" s="59"/>
      <c r="E76" s="59"/>
      <c r="F76" s="59"/>
      <c r="G76" s="59"/>
      <c r="H76" s="59"/>
      <c r="I76" s="59"/>
      <c r="J76" s="59"/>
      <c r="K76" s="59"/>
      <c r="L76" s="59"/>
      <c r="M76" s="59"/>
      <c r="N76" s="59"/>
      <c r="O76" s="59"/>
      <c r="P76" s="59"/>
    </row>
    <row r="77" spans="1:16">
      <c r="A77" s="59" t="s">
        <v>11</v>
      </c>
      <c r="B77" s="59" t="s">
        <v>1871</v>
      </c>
      <c r="C77" s="59"/>
      <c r="D77" s="59"/>
      <c r="E77" s="59"/>
      <c r="F77" s="59"/>
      <c r="G77" s="59"/>
      <c r="H77" s="59"/>
      <c r="I77" s="59"/>
      <c r="J77" s="59"/>
      <c r="K77" s="59"/>
      <c r="L77" s="59"/>
      <c r="M77" s="59"/>
      <c r="N77" s="59"/>
      <c r="O77" s="59"/>
      <c r="P77" s="59"/>
    </row>
    <row r="78" spans="1:16">
      <c r="A78" s="59" t="s">
        <v>13</v>
      </c>
      <c r="B78" s="59" t="s">
        <v>59</v>
      </c>
      <c r="C78" s="59"/>
      <c r="D78" s="59"/>
      <c r="E78" s="59"/>
      <c r="F78" s="59"/>
      <c r="G78" s="59"/>
      <c r="H78" s="59"/>
      <c r="I78" s="59"/>
      <c r="J78" s="59"/>
      <c r="K78" s="59"/>
      <c r="L78" s="59"/>
      <c r="M78" s="59"/>
      <c r="N78" s="59"/>
      <c r="O78" s="59"/>
      <c r="P78" s="59"/>
    </row>
    <row r="79" spans="1:16">
      <c r="A79" s="59" t="s">
        <v>15</v>
      </c>
      <c r="B79" s="59">
        <v>1</v>
      </c>
      <c r="C79" s="59"/>
      <c r="D79" s="59"/>
      <c r="E79" s="59"/>
      <c r="F79" s="59"/>
      <c r="G79" s="59"/>
      <c r="H79" s="59"/>
      <c r="I79" s="59"/>
      <c r="J79" s="59"/>
      <c r="K79" s="59"/>
      <c r="L79" s="59"/>
      <c r="M79" s="59"/>
      <c r="N79" s="59"/>
      <c r="O79" s="59"/>
      <c r="P79" s="59"/>
    </row>
    <row r="80" spans="1:16">
      <c r="A80" s="59" t="s">
        <v>16</v>
      </c>
      <c r="B80" s="59" t="s">
        <v>17</v>
      </c>
      <c r="C80" s="59"/>
      <c r="D80" s="59"/>
      <c r="E80" s="59"/>
      <c r="F80" s="59"/>
      <c r="G80" s="59"/>
      <c r="H80" s="59"/>
      <c r="I80" s="59"/>
      <c r="J80" s="59"/>
      <c r="K80" s="59"/>
      <c r="L80" s="59"/>
      <c r="M80" s="59"/>
      <c r="N80" s="59"/>
      <c r="O80" s="59"/>
      <c r="P80" s="59"/>
    </row>
    <row r="81" spans="1:16" ht="15.6">
      <c r="A81" s="59" t="s">
        <v>18</v>
      </c>
      <c r="B81" s="180" t="s">
        <v>18</v>
      </c>
      <c r="C81" s="59"/>
      <c r="D81" s="59"/>
      <c r="E81" s="59" t="s">
        <v>235</v>
      </c>
      <c r="F81" s="59"/>
      <c r="G81" s="59"/>
      <c r="H81" s="59"/>
      <c r="I81" s="59"/>
      <c r="J81" s="59"/>
      <c r="K81" s="59"/>
      <c r="L81" s="59"/>
      <c r="M81" s="59"/>
      <c r="N81" s="59"/>
      <c r="O81" s="59"/>
      <c r="P81" s="59"/>
    </row>
    <row r="82" spans="1:16" ht="15.6">
      <c r="A82" s="181" t="s">
        <v>19</v>
      </c>
      <c r="B82" s="59"/>
      <c r="C82" s="59"/>
      <c r="D82" s="59"/>
      <c r="E82" s="59"/>
      <c r="F82" s="59"/>
      <c r="G82" s="59"/>
      <c r="H82" s="59"/>
      <c r="I82" s="59"/>
      <c r="J82" s="59"/>
      <c r="K82" s="59"/>
      <c r="L82" s="59"/>
      <c r="M82" s="59"/>
      <c r="N82" s="59"/>
      <c r="O82" s="59"/>
      <c r="P82" s="59"/>
    </row>
    <row r="83" spans="1:16" ht="15.6">
      <c r="A83" s="181" t="s">
        <v>20</v>
      </c>
      <c r="B83" s="181" t="s">
        <v>21</v>
      </c>
      <c r="C83" s="181" t="s">
        <v>217</v>
      </c>
      <c r="D83" s="181" t="s">
        <v>18</v>
      </c>
      <c r="E83" s="181" t="s">
        <v>22</v>
      </c>
      <c r="F83" s="181" t="s">
        <v>7</v>
      </c>
      <c r="G83" s="181" t="s">
        <v>13</v>
      </c>
      <c r="H83" s="181" t="s">
        <v>16</v>
      </c>
      <c r="I83" s="181" t="s">
        <v>23</v>
      </c>
      <c r="J83" s="181" t="s">
        <v>24</v>
      </c>
      <c r="K83" s="181" t="s">
        <v>25</v>
      </c>
      <c r="L83" s="181" t="s">
        <v>26</v>
      </c>
      <c r="M83" s="181" t="s">
        <v>27</v>
      </c>
      <c r="N83" s="181" t="s">
        <v>28</v>
      </c>
      <c r="O83" s="181" t="s">
        <v>11</v>
      </c>
      <c r="P83" s="181" t="s">
        <v>702</v>
      </c>
    </row>
    <row r="84" spans="1:16" ht="15.6">
      <c r="A84" s="180" t="str">
        <f>B74</f>
        <v>treatment of motors and drives, PEMFC-bat, Long-Term</v>
      </c>
      <c r="B84" s="180">
        <v>1</v>
      </c>
      <c r="C84" s="180"/>
      <c r="D84" s="180" t="s">
        <v>18</v>
      </c>
      <c r="E84" s="59" t="s">
        <v>2</v>
      </c>
      <c r="F84" s="59" t="s">
        <v>1851</v>
      </c>
      <c r="G84" s="180" t="s">
        <v>59</v>
      </c>
      <c r="H84" s="59" t="s">
        <v>30</v>
      </c>
      <c r="I84" s="59">
        <v>0</v>
      </c>
      <c r="J84" s="180" t="s">
        <v>31</v>
      </c>
      <c r="K84" s="180" t="s">
        <v>31</v>
      </c>
      <c r="L84" s="180" t="s">
        <v>31</v>
      </c>
      <c r="M84" s="180" t="s">
        <v>31</v>
      </c>
      <c r="N84" s="180" t="s">
        <v>31</v>
      </c>
      <c r="O84" s="59"/>
      <c r="P84" s="59"/>
    </row>
    <row r="85" spans="1:16">
      <c r="A85" t="str">
        <f>A69</f>
        <v>treatment of motor, motors and drives, PEMFC-bat, Long-Term</v>
      </c>
      <c r="B85">
        <f t="shared" ref="B85:N85" si="0">B69</f>
        <v>1</v>
      </c>
      <c r="D85" t="str">
        <f t="shared" si="0"/>
        <v>unit</v>
      </c>
      <c r="E85" t="str">
        <f t="shared" si="0"/>
        <v>GENESIS_2050_PEMFC-bat_Base</v>
      </c>
      <c r="F85" t="str">
        <f t="shared" si="0"/>
        <v>motors and drives, PEMFC-bat, Long-Term</v>
      </c>
      <c r="G85" t="str">
        <f t="shared" si="0"/>
        <v>GLO</v>
      </c>
      <c r="H85" t="s">
        <v>33</v>
      </c>
      <c r="I85">
        <f t="shared" si="0"/>
        <v>0</v>
      </c>
      <c r="J85" t="str">
        <f t="shared" si="0"/>
        <v>(Unknown)</v>
      </c>
      <c r="K85" t="str">
        <f t="shared" si="0"/>
        <v>(Unknown)</v>
      </c>
      <c r="L85" t="str">
        <f t="shared" si="0"/>
        <v>(Unknown)</v>
      </c>
      <c r="M85" t="str">
        <f t="shared" si="0"/>
        <v>(Unknown)</v>
      </c>
      <c r="N85" t="str">
        <f t="shared" si="0"/>
        <v>(Unknown)</v>
      </c>
    </row>
  </sheetData>
  <pageMargins left="0.7" right="0.7" top="0.75" bottom="0.75" header="0.3" footer="0.3"/>
  <pageSetup paperSize="9" orientation="portrai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E91F3-612D-4827-AB76-424FD7423DEB}">
  <sheetPr>
    <tabColor theme="9"/>
  </sheetPr>
  <dimension ref="A1:V128"/>
  <sheetViews>
    <sheetView topLeftCell="A106" workbookViewId="0">
      <selection activeCell="J19" sqref="J19"/>
    </sheetView>
  </sheetViews>
  <sheetFormatPr defaultRowHeight="14.45"/>
  <cols>
    <col min="1" max="1" width="55.28515625" bestFit="1" customWidth="1"/>
    <col min="5" max="5" width="32.7109375" bestFit="1" customWidth="1"/>
    <col min="6" max="6" width="14.85546875" bestFit="1" customWidth="1"/>
  </cols>
  <sheetData>
    <row r="1" spans="1:22">
      <c r="A1" t="s">
        <v>0</v>
      </c>
      <c r="B1">
        <v>14</v>
      </c>
    </row>
    <row r="2" spans="1:22" s="70" customFormat="1" ht="15.6">
      <c r="A2" s="178" t="s">
        <v>5</v>
      </c>
      <c r="B2" s="178" t="s">
        <v>1872</v>
      </c>
      <c r="C2" s="178"/>
      <c r="D2" s="69"/>
      <c r="E2" s="144"/>
      <c r="F2" s="144"/>
      <c r="G2" s="144"/>
      <c r="H2" s="144"/>
      <c r="I2" s="144"/>
      <c r="J2" s="144"/>
      <c r="K2" s="144"/>
      <c r="L2" s="144"/>
      <c r="M2" s="144"/>
      <c r="N2" s="144"/>
      <c r="O2" s="144"/>
      <c r="P2" s="144"/>
    </row>
    <row r="3" spans="1:22">
      <c r="A3" s="59" t="s">
        <v>7</v>
      </c>
      <c r="B3" s="59" t="s">
        <v>1873</v>
      </c>
      <c r="C3" s="59"/>
      <c r="D3" s="59"/>
      <c r="E3" s="59"/>
      <c r="F3" s="59"/>
      <c r="G3" s="59"/>
      <c r="H3" s="59"/>
      <c r="I3" s="59"/>
      <c r="J3" s="59"/>
      <c r="K3" s="59"/>
      <c r="L3" s="59"/>
      <c r="M3" s="59"/>
      <c r="N3" s="59"/>
      <c r="O3" s="59"/>
      <c r="P3" s="59"/>
    </row>
    <row r="4" spans="1:22">
      <c r="A4" s="59" t="s">
        <v>9</v>
      </c>
      <c r="B4" s="186" t="s">
        <v>1874</v>
      </c>
      <c r="C4" s="59"/>
      <c r="D4" s="59"/>
      <c r="E4" s="59"/>
      <c r="F4" s="59"/>
      <c r="G4" s="59"/>
      <c r="H4" s="59"/>
      <c r="I4" s="59"/>
      <c r="J4" s="59"/>
      <c r="K4" s="59"/>
      <c r="L4" s="59"/>
      <c r="M4" s="59"/>
      <c r="N4" s="59"/>
      <c r="O4" s="59"/>
      <c r="P4" s="59"/>
    </row>
    <row r="5" spans="1:22">
      <c r="A5" s="59" t="s">
        <v>11</v>
      </c>
      <c r="B5" s="59" t="s">
        <v>232</v>
      </c>
      <c r="C5" s="59"/>
      <c r="D5" s="59"/>
      <c r="E5" s="59"/>
      <c r="F5" s="59"/>
      <c r="G5" s="59"/>
      <c r="H5" s="59"/>
      <c r="I5" s="59"/>
      <c r="J5" s="59"/>
      <c r="K5" s="59"/>
      <c r="L5" s="59"/>
      <c r="M5" s="59"/>
      <c r="N5" s="59"/>
      <c r="O5" s="59"/>
      <c r="P5" s="59"/>
    </row>
    <row r="6" spans="1:22">
      <c r="A6" s="59" t="s">
        <v>13</v>
      </c>
      <c r="B6" s="59" t="s">
        <v>59</v>
      </c>
      <c r="C6" s="59"/>
      <c r="D6" s="59"/>
      <c r="E6" s="59"/>
      <c r="F6" s="59"/>
      <c r="G6" s="59"/>
      <c r="H6" s="59"/>
      <c r="I6" s="59"/>
      <c r="J6" s="59"/>
      <c r="K6" s="59"/>
      <c r="L6" s="59"/>
      <c r="M6" s="59"/>
      <c r="N6" s="59"/>
      <c r="O6" s="59"/>
      <c r="P6" s="59"/>
    </row>
    <row r="7" spans="1:22">
      <c r="A7" s="59" t="s">
        <v>15</v>
      </c>
      <c r="B7" s="59">
        <v>1</v>
      </c>
      <c r="C7" s="59"/>
      <c r="D7" s="59"/>
      <c r="E7" s="59"/>
      <c r="F7" s="59"/>
      <c r="G7" s="59"/>
      <c r="H7" s="59"/>
      <c r="I7" s="59"/>
      <c r="J7" s="59"/>
      <c r="K7" s="59"/>
      <c r="L7" s="59"/>
      <c r="M7" s="59"/>
      <c r="N7" s="59"/>
      <c r="O7" s="59"/>
      <c r="P7" s="59"/>
    </row>
    <row r="8" spans="1:22">
      <c r="A8" s="59" t="s">
        <v>16</v>
      </c>
      <c r="B8" s="59" t="s">
        <v>17</v>
      </c>
      <c r="C8" s="59"/>
      <c r="D8" s="59"/>
      <c r="E8" s="59"/>
      <c r="F8" s="59"/>
      <c r="G8" s="59"/>
      <c r="H8" s="59"/>
      <c r="I8" s="59"/>
      <c r="J8" s="59"/>
      <c r="K8" s="59"/>
      <c r="L8" s="59"/>
      <c r="M8" s="59"/>
      <c r="N8" s="59"/>
      <c r="O8" s="59"/>
      <c r="P8" s="59"/>
    </row>
    <row r="9" spans="1:22" ht="15.6">
      <c r="A9" s="59" t="s">
        <v>18</v>
      </c>
      <c r="B9" s="180" t="s">
        <v>37</v>
      </c>
      <c r="C9" s="59"/>
      <c r="D9" s="59"/>
      <c r="E9" s="59" t="s">
        <v>235</v>
      </c>
      <c r="F9" s="59"/>
      <c r="G9" s="59"/>
      <c r="H9" s="59"/>
      <c r="I9" s="59"/>
      <c r="J9" s="59"/>
      <c r="K9" s="59"/>
      <c r="L9" s="59"/>
      <c r="M9" s="59"/>
      <c r="N9" s="59"/>
      <c r="O9" s="59"/>
      <c r="P9" s="59"/>
    </row>
    <row r="10" spans="1:22" ht="15.6">
      <c r="A10" s="181" t="s">
        <v>19</v>
      </c>
      <c r="B10" s="59"/>
      <c r="C10" s="59"/>
      <c r="D10" s="59"/>
      <c r="E10" s="59"/>
      <c r="F10" s="59"/>
      <c r="G10" s="59"/>
      <c r="H10" s="59"/>
      <c r="I10" s="59"/>
      <c r="J10" s="59"/>
      <c r="K10" s="59"/>
      <c r="L10" s="59"/>
      <c r="M10" s="59"/>
      <c r="N10" s="59"/>
      <c r="O10" s="59"/>
      <c r="P10" s="59"/>
    </row>
    <row r="11" spans="1:22"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22" ht="15.6">
      <c r="A12" s="180" t="str">
        <f>B2</f>
        <v>treatment of titanium,powerplant, PEMFC-bat, Long-Term</v>
      </c>
      <c r="B12" s="180">
        <v>1</v>
      </c>
      <c r="C12" s="180"/>
      <c r="D12" s="180" t="s">
        <v>37</v>
      </c>
      <c r="E12" s="59" t="s">
        <v>2</v>
      </c>
      <c r="F12" s="59" t="s">
        <v>1873</v>
      </c>
      <c r="G12" s="180" t="s">
        <v>59</v>
      </c>
      <c r="H12" s="59" t="s">
        <v>30</v>
      </c>
      <c r="I12" s="59">
        <v>0</v>
      </c>
      <c r="J12" s="180" t="s">
        <v>31</v>
      </c>
      <c r="K12" s="180" t="s">
        <v>31</v>
      </c>
      <c r="L12" s="180" t="s">
        <v>31</v>
      </c>
      <c r="M12" s="180" t="s">
        <v>31</v>
      </c>
      <c r="N12" s="180" t="s">
        <v>31</v>
      </c>
      <c r="O12" s="59"/>
      <c r="P12" s="59" t="s">
        <v>1875</v>
      </c>
    </row>
    <row r="13" spans="1:22">
      <c r="A13" t="s">
        <v>269</v>
      </c>
      <c r="B13">
        <f>U13</f>
        <v>9.5000076</v>
      </c>
      <c r="D13" t="s">
        <v>39</v>
      </c>
      <c r="E13" t="s">
        <v>40</v>
      </c>
      <c r="F13" s="59" t="s">
        <v>1873</v>
      </c>
      <c r="G13" t="s">
        <v>59</v>
      </c>
      <c r="H13" t="s">
        <v>33</v>
      </c>
      <c r="I13">
        <v>2</v>
      </c>
      <c r="J13">
        <v>9.398101209</v>
      </c>
      <c r="K13">
        <v>0.30331501799999999</v>
      </c>
      <c r="L13" t="s">
        <v>31</v>
      </c>
      <c r="M13" t="s">
        <v>31</v>
      </c>
      <c r="N13" t="s">
        <v>31</v>
      </c>
      <c r="O13" t="s">
        <v>260</v>
      </c>
      <c r="P13" t="s">
        <v>1876</v>
      </c>
      <c r="Q13" t="s">
        <v>231</v>
      </c>
      <c r="R13" s="22" t="s">
        <v>1877</v>
      </c>
      <c r="S13" s="22">
        <f>114*0.6*0.5</f>
        <v>34.199999999999996</v>
      </c>
      <c r="T13" s="22" t="s">
        <v>250</v>
      </c>
      <c r="U13" s="22">
        <f>S13*0.277778</f>
        <v>9.5000076</v>
      </c>
      <c r="V13" s="22" t="s">
        <v>248</v>
      </c>
    </row>
    <row r="14" spans="1:22">
      <c r="A14" t="s">
        <v>69</v>
      </c>
      <c r="B14">
        <f>U14</f>
        <v>0.59530026109660583</v>
      </c>
      <c r="D14" t="s">
        <v>42</v>
      </c>
      <c r="E14" t="s">
        <v>40</v>
      </c>
      <c r="F14" s="59" t="s">
        <v>1873</v>
      </c>
      <c r="G14" t="s">
        <v>249</v>
      </c>
      <c r="H14" t="s">
        <v>33</v>
      </c>
      <c r="I14">
        <v>2</v>
      </c>
      <c r="J14">
        <v>6.6281192500000001</v>
      </c>
      <c r="K14">
        <v>0.30331501799999999</v>
      </c>
      <c r="L14" t="s">
        <v>31</v>
      </c>
      <c r="M14" t="s">
        <v>31</v>
      </c>
      <c r="N14" t="s">
        <v>31</v>
      </c>
      <c r="O14" t="s">
        <v>260</v>
      </c>
      <c r="P14" t="s">
        <v>1876</v>
      </c>
      <c r="Q14" t="s">
        <v>231</v>
      </c>
      <c r="R14" s="22" t="s">
        <v>1878</v>
      </c>
      <c r="S14" s="22">
        <f>114*0.4*0.5</f>
        <v>22.8</v>
      </c>
      <c r="T14" s="22" t="s">
        <v>250</v>
      </c>
      <c r="U14" s="22">
        <f>S14/38.3</f>
        <v>0.59530026109660583</v>
      </c>
      <c r="V14" s="22" t="s">
        <v>251</v>
      </c>
    </row>
    <row r="15" spans="1:22">
      <c r="A15" s="204" t="s">
        <v>88</v>
      </c>
      <c r="B15" s="205">
        <f>S15</f>
        <v>0.5</v>
      </c>
      <c r="C15" s="205"/>
      <c r="D15" s="22" t="s">
        <v>37</v>
      </c>
      <c r="E15" s="22" t="s">
        <v>40</v>
      </c>
      <c r="F15" s="59" t="s">
        <v>1873</v>
      </c>
      <c r="G15" s="22" t="s">
        <v>59</v>
      </c>
      <c r="H15" s="22" t="s">
        <v>136</v>
      </c>
      <c r="I15" s="22">
        <v>2</v>
      </c>
      <c r="J15" s="22">
        <f t="shared" ref="J15" si="0">LN(B15)</f>
        <v>-0.69314718055994529</v>
      </c>
      <c r="K15" s="22">
        <v>0.30331501776206199</v>
      </c>
      <c r="L15" s="22" t="s">
        <v>31</v>
      </c>
      <c r="M15" s="22" t="s">
        <v>31</v>
      </c>
      <c r="N15" s="22" t="s">
        <v>31</v>
      </c>
      <c r="O15" s="22" t="s">
        <v>260</v>
      </c>
      <c r="P15" t="s">
        <v>1876</v>
      </c>
      <c r="Q15" s="22" t="s">
        <v>231</v>
      </c>
      <c r="R15" s="22"/>
      <c r="S15" s="22">
        <v>0.5</v>
      </c>
      <c r="T15" s="22" t="s">
        <v>241</v>
      </c>
    </row>
    <row r="16" spans="1:22" ht="15.6">
      <c r="A16" t="s">
        <v>403</v>
      </c>
      <c r="B16" s="23">
        <f>-0.5</f>
        <v>-0.5</v>
      </c>
      <c r="D16" t="s">
        <v>37</v>
      </c>
      <c r="E16" s="88" t="s">
        <v>40</v>
      </c>
      <c r="F16" s="59" t="s">
        <v>1873</v>
      </c>
      <c r="G16" t="s">
        <v>59</v>
      </c>
      <c r="H16" t="s">
        <v>33</v>
      </c>
      <c r="I16">
        <v>0</v>
      </c>
      <c r="J16" t="s">
        <v>31</v>
      </c>
      <c r="K16" t="s">
        <v>31</v>
      </c>
      <c r="L16" t="s">
        <v>31</v>
      </c>
      <c r="M16" t="s">
        <v>31</v>
      </c>
      <c r="N16" t="s">
        <v>31</v>
      </c>
      <c r="O16" s="17"/>
      <c r="P16" s="59" t="s">
        <v>1879</v>
      </c>
    </row>
    <row r="17" spans="1:17" s="70" customFormat="1" ht="15.6">
      <c r="A17" s="178" t="s">
        <v>5</v>
      </c>
      <c r="B17" s="178" t="s">
        <v>1880</v>
      </c>
      <c r="C17" s="178"/>
      <c r="D17" s="69"/>
      <c r="E17" s="144"/>
      <c r="F17" s="144"/>
      <c r="G17" s="144"/>
      <c r="H17" s="144"/>
      <c r="I17" s="144"/>
      <c r="J17" s="144"/>
      <c r="K17" s="144"/>
      <c r="L17" s="144"/>
      <c r="M17" s="144"/>
      <c r="N17" s="144"/>
      <c r="O17" s="144"/>
      <c r="P17" s="144"/>
    </row>
    <row r="18" spans="1:17">
      <c r="A18" s="59" t="s">
        <v>7</v>
      </c>
      <c r="B18" s="59" t="s">
        <v>1873</v>
      </c>
      <c r="C18" s="59"/>
      <c r="D18" s="59"/>
      <c r="E18" s="59"/>
      <c r="F18" s="59"/>
      <c r="G18" s="59"/>
      <c r="H18" s="59"/>
      <c r="I18" s="59"/>
      <c r="J18" s="59"/>
      <c r="K18" s="59"/>
      <c r="L18" s="59"/>
      <c r="M18" s="59"/>
      <c r="N18" s="59"/>
      <c r="O18" s="59"/>
      <c r="P18" s="59"/>
    </row>
    <row r="19" spans="1:17">
      <c r="A19" s="59" t="s">
        <v>9</v>
      </c>
      <c r="B19" s="201" t="s">
        <v>1881</v>
      </c>
      <c r="C19" s="59"/>
      <c r="D19" s="59"/>
      <c r="E19" s="59"/>
      <c r="F19" s="59"/>
      <c r="G19" s="59"/>
      <c r="H19" s="59"/>
      <c r="I19" s="59"/>
      <c r="J19" s="59"/>
      <c r="K19" s="59"/>
      <c r="L19" s="59"/>
      <c r="M19" s="59"/>
      <c r="N19" s="59"/>
      <c r="O19" s="59"/>
      <c r="P19" s="59"/>
    </row>
    <row r="20" spans="1:17">
      <c r="A20" s="59" t="s">
        <v>11</v>
      </c>
      <c r="B20" s="59" t="s">
        <v>232</v>
      </c>
      <c r="C20" s="59"/>
      <c r="D20" s="59"/>
      <c r="E20" s="59"/>
      <c r="F20" s="59"/>
      <c r="G20" s="59"/>
      <c r="H20" s="59"/>
      <c r="I20" s="59"/>
      <c r="J20" s="59"/>
      <c r="K20" s="59"/>
      <c r="L20" s="59"/>
      <c r="M20" s="59"/>
      <c r="N20" s="59"/>
      <c r="O20" s="59"/>
      <c r="P20" s="59"/>
    </row>
    <row r="21" spans="1:17">
      <c r="A21" s="59" t="s">
        <v>13</v>
      </c>
      <c r="B21" s="59" t="s">
        <v>59</v>
      </c>
      <c r="C21" s="59"/>
      <c r="D21" s="59"/>
      <c r="E21" s="59"/>
      <c r="F21" s="59"/>
      <c r="G21" s="59"/>
      <c r="H21" s="59"/>
      <c r="I21" s="59"/>
      <c r="J21" s="59"/>
      <c r="K21" s="59"/>
      <c r="L21" s="59"/>
      <c r="M21" s="59"/>
      <c r="N21" s="59"/>
      <c r="O21" s="59"/>
      <c r="P21" s="59"/>
    </row>
    <row r="22" spans="1:17">
      <c r="A22" s="59" t="s">
        <v>15</v>
      </c>
      <c r="B22" s="59">
        <v>1</v>
      </c>
      <c r="C22" s="59"/>
      <c r="D22" s="59"/>
      <c r="E22" s="59"/>
      <c r="F22" s="59"/>
      <c r="G22" s="59"/>
      <c r="H22" s="59"/>
      <c r="I22" s="59"/>
      <c r="J22" s="59"/>
      <c r="K22" s="59"/>
      <c r="L22" s="59"/>
      <c r="M22" s="59"/>
      <c r="N22" s="59"/>
      <c r="O22" s="59"/>
      <c r="P22" s="59"/>
    </row>
    <row r="23" spans="1:17">
      <c r="A23" s="59" t="s">
        <v>16</v>
      </c>
      <c r="B23" s="59" t="s">
        <v>17</v>
      </c>
      <c r="C23" s="59"/>
      <c r="D23" s="59"/>
      <c r="E23" s="59"/>
      <c r="F23" s="59"/>
      <c r="G23" s="59"/>
      <c r="H23" s="59"/>
      <c r="I23" s="59"/>
      <c r="J23" s="59"/>
      <c r="K23" s="59"/>
      <c r="L23" s="59"/>
      <c r="M23" s="59"/>
      <c r="N23" s="59"/>
      <c r="O23" s="59"/>
      <c r="P23" s="59"/>
    </row>
    <row r="24" spans="1:17" ht="15.6">
      <c r="A24" s="59" t="s">
        <v>18</v>
      </c>
      <c r="B24" s="180" t="s">
        <v>37</v>
      </c>
      <c r="C24" s="59"/>
      <c r="D24" s="59"/>
      <c r="E24" s="59" t="s">
        <v>235</v>
      </c>
      <c r="F24" s="59"/>
      <c r="G24" s="59"/>
      <c r="H24" s="59"/>
      <c r="I24" s="59"/>
      <c r="J24" s="59"/>
      <c r="K24" s="59"/>
      <c r="L24" s="59"/>
      <c r="M24" s="59"/>
      <c r="N24" s="59"/>
      <c r="O24" s="59"/>
      <c r="P24" s="59"/>
    </row>
    <row r="25" spans="1:17" ht="15.6">
      <c r="A25" s="181" t="s">
        <v>19</v>
      </c>
      <c r="B25" s="59"/>
      <c r="C25" s="59"/>
      <c r="D25" s="59"/>
      <c r="E25" s="59"/>
      <c r="F25" s="59"/>
      <c r="G25" s="59"/>
      <c r="H25" s="59"/>
      <c r="I25" s="59"/>
      <c r="J25" s="59"/>
      <c r="K25" s="59"/>
      <c r="L25" s="59"/>
      <c r="M25" s="59"/>
      <c r="N25" s="59"/>
      <c r="O25" s="59"/>
      <c r="P25" s="59"/>
    </row>
    <row r="26" spans="1:17" ht="15.6">
      <c r="A26" s="181" t="s">
        <v>20</v>
      </c>
      <c r="B26" s="181" t="s">
        <v>21</v>
      </c>
      <c r="C26" s="181" t="s">
        <v>217</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702</v>
      </c>
    </row>
    <row r="27" spans="1:17" ht="15.6">
      <c r="A27" s="180" t="str">
        <f>B17</f>
        <v>treatment of CFRP,powerplant, PEMFC-bat, Long-Term</v>
      </c>
      <c r="B27" s="180">
        <v>1</v>
      </c>
      <c r="C27" s="180"/>
      <c r="D27" s="180" t="s">
        <v>37</v>
      </c>
      <c r="E27" s="59" t="s">
        <v>2</v>
      </c>
      <c r="F27" s="59" t="s">
        <v>1873</v>
      </c>
      <c r="G27" s="180" t="s">
        <v>59</v>
      </c>
      <c r="H27" s="59" t="s">
        <v>30</v>
      </c>
      <c r="I27" s="59">
        <v>0</v>
      </c>
      <c r="J27" s="180" t="s">
        <v>31</v>
      </c>
      <c r="K27" s="180" t="s">
        <v>31</v>
      </c>
      <c r="L27" s="180" t="s">
        <v>31</v>
      </c>
      <c r="M27" s="180" t="s">
        <v>31</v>
      </c>
      <c r="N27" s="180" t="s">
        <v>31</v>
      </c>
      <c r="O27" s="59" t="s">
        <v>1875</v>
      </c>
    </row>
    <row r="28" spans="1:17" ht="15.6">
      <c r="A28" s="88" t="s">
        <v>572</v>
      </c>
      <c r="B28">
        <v>-0.5</v>
      </c>
      <c r="D28" t="s">
        <v>37</v>
      </c>
      <c r="E28" s="188" t="s">
        <v>40</v>
      </c>
      <c r="F28" s="59" t="s">
        <v>1873</v>
      </c>
      <c r="G28" t="s">
        <v>82</v>
      </c>
      <c r="H28" t="s">
        <v>33</v>
      </c>
      <c r="I28" s="59">
        <v>0</v>
      </c>
      <c r="J28" s="180" t="s">
        <v>31</v>
      </c>
      <c r="K28" s="180" t="s">
        <v>31</v>
      </c>
      <c r="L28" s="180" t="s">
        <v>31</v>
      </c>
      <c r="M28" s="180" t="s">
        <v>31</v>
      </c>
      <c r="N28" s="180" t="s">
        <v>31</v>
      </c>
      <c r="O28" s="59" t="s">
        <v>1572</v>
      </c>
      <c r="P28" s="180" t="s">
        <v>1573</v>
      </c>
      <c r="Q28" s="180" t="s">
        <v>1882</v>
      </c>
    </row>
    <row r="29" spans="1:17" ht="15.6">
      <c r="A29" t="s">
        <v>38</v>
      </c>
      <c r="B29">
        <f>B30*0.277777777</f>
        <v>2.415277771015</v>
      </c>
      <c r="D29" t="s">
        <v>39</v>
      </c>
      <c r="E29" s="188" t="s">
        <v>40</v>
      </c>
      <c r="F29" s="59" t="s">
        <v>1873</v>
      </c>
      <c r="G29" t="s">
        <v>59</v>
      </c>
      <c r="H29" s="59" t="s">
        <v>136</v>
      </c>
      <c r="I29" s="59">
        <v>0</v>
      </c>
      <c r="J29" s="180" t="s">
        <v>31</v>
      </c>
      <c r="K29" s="180" t="s">
        <v>31</v>
      </c>
      <c r="L29" s="180" t="s">
        <v>31</v>
      </c>
      <c r="M29" s="180" t="s">
        <v>31</v>
      </c>
      <c r="N29" s="180" t="s">
        <v>31</v>
      </c>
      <c r="O29" t="s">
        <v>1883</v>
      </c>
    </row>
    <row r="30" spans="1:17" ht="15.6">
      <c r="A30" t="s">
        <v>70</v>
      </c>
      <c r="B30">
        <f>-B28*0.5*34.78</f>
        <v>8.6950000000000003</v>
      </c>
      <c r="D30" t="s">
        <v>71</v>
      </c>
      <c r="E30" s="188" t="s">
        <v>40</v>
      </c>
      <c r="F30" s="59" t="s">
        <v>1873</v>
      </c>
      <c r="G30" t="s">
        <v>59</v>
      </c>
      <c r="H30" s="59" t="s">
        <v>136</v>
      </c>
      <c r="I30" s="59">
        <v>0</v>
      </c>
      <c r="J30" s="180" t="s">
        <v>31</v>
      </c>
      <c r="K30" s="180" t="s">
        <v>31</v>
      </c>
      <c r="L30" s="180" t="s">
        <v>31</v>
      </c>
      <c r="M30" s="180" t="s">
        <v>31</v>
      </c>
      <c r="N30" s="180" t="s">
        <v>31</v>
      </c>
      <c r="O30" t="s">
        <v>1884</v>
      </c>
    </row>
    <row r="31" spans="1:17" ht="15.6">
      <c r="A31" s="88" t="s">
        <v>1885</v>
      </c>
      <c r="B31">
        <f>B28</f>
        <v>-0.5</v>
      </c>
      <c r="D31" t="s">
        <v>37</v>
      </c>
      <c r="E31" s="188" t="s">
        <v>40</v>
      </c>
      <c r="F31" s="59" t="s">
        <v>1873</v>
      </c>
      <c r="G31" t="s">
        <v>82</v>
      </c>
      <c r="H31" s="59" t="s">
        <v>33</v>
      </c>
      <c r="I31" s="59">
        <v>0</v>
      </c>
      <c r="J31" s="180" t="s">
        <v>31</v>
      </c>
      <c r="K31" s="180" t="s">
        <v>31</v>
      </c>
      <c r="L31" s="180" t="s">
        <v>31</v>
      </c>
      <c r="M31" s="180" t="s">
        <v>31</v>
      </c>
      <c r="N31" s="180" t="s">
        <v>31</v>
      </c>
      <c r="O31" s="180" t="s">
        <v>1886</v>
      </c>
    </row>
    <row r="32" spans="1:17" s="70" customFormat="1" ht="15.6">
      <c r="A32" s="178" t="s">
        <v>5</v>
      </c>
      <c r="B32" s="178" t="s">
        <v>1887</v>
      </c>
      <c r="C32" s="178"/>
      <c r="D32" s="69"/>
      <c r="E32" s="144"/>
      <c r="F32" s="144"/>
      <c r="G32" s="144"/>
      <c r="H32" s="144"/>
      <c r="I32" s="144"/>
      <c r="J32" s="144"/>
      <c r="K32" s="144"/>
      <c r="L32" s="144"/>
      <c r="M32" s="144"/>
      <c r="N32" s="144"/>
      <c r="O32" s="144"/>
      <c r="P32" s="144"/>
    </row>
    <row r="33" spans="1:16">
      <c r="A33" s="59" t="s">
        <v>7</v>
      </c>
      <c r="B33" s="59" t="s">
        <v>1873</v>
      </c>
      <c r="C33" s="59"/>
      <c r="D33" s="59"/>
      <c r="E33" s="59"/>
      <c r="F33" s="59"/>
      <c r="G33" s="59"/>
      <c r="H33" s="59"/>
      <c r="I33" s="59"/>
      <c r="J33" s="59"/>
      <c r="K33" s="59"/>
      <c r="L33" s="59"/>
      <c r="M33" s="59"/>
      <c r="N33" s="59"/>
      <c r="O33" s="59"/>
      <c r="P33" s="59"/>
    </row>
    <row r="34" spans="1:16">
      <c r="A34" s="59" t="s">
        <v>9</v>
      </c>
      <c r="B34" s="201" t="s">
        <v>1888</v>
      </c>
      <c r="C34" s="59"/>
      <c r="D34" s="59"/>
      <c r="E34" s="59"/>
      <c r="F34" s="59"/>
      <c r="G34" s="59"/>
      <c r="H34" s="59"/>
      <c r="I34" s="59"/>
      <c r="J34" s="59"/>
      <c r="K34" s="59"/>
      <c r="L34" s="59"/>
      <c r="M34" s="59"/>
      <c r="N34" s="59"/>
      <c r="O34" s="59"/>
      <c r="P34" s="59"/>
    </row>
    <row r="35" spans="1:16">
      <c r="A35" s="59" t="s">
        <v>11</v>
      </c>
      <c r="B35" s="59" t="s">
        <v>232</v>
      </c>
      <c r="C35" s="59"/>
      <c r="D35" s="59"/>
      <c r="E35" s="59"/>
      <c r="F35" s="59"/>
      <c r="G35" s="59"/>
      <c r="H35" s="59"/>
      <c r="I35" s="59"/>
      <c r="J35" s="59"/>
      <c r="K35" s="59"/>
      <c r="L35" s="59"/>
      <c r="M35" s="59"/>
      <c r="N35" s="59"/>
      <c r="O35" s="59"/>
      <c r="P35" s="59"/>
    </row>
    <row r="36" spans="1:16">
      <c r="A36" s="59" t="s">
        <v>13</v>
      </c>
      <c r="B36" s="59" t="s">
        <v>59</v>
      </c>
      <c r="C36" s="59"/>
      <c r="D36" s="59"/>
      <c r="E36" s="59"/>
      <c r="F36" s="59"/>
      <c r="G36" s="59"/>
      <c r="H36" s="59"/>
      <c r="I36" s="59"/>
      <c r="J36" s="59"/>
      <c r="K36" s="59"/>
      <c r="L36" s="59"/>
      <c r="M36" s="59"/>
      <c r="N36" s="59"/>
      <c r="O36" s="59"/>
      <c r="P36" s="59"/>
    </row>
    <row r="37" spans="1:16">
      <c r="A37" s="59" t="s">
        <v>15</v>
      </c>
      <c r="B37" s="59">
        <v>1</v>
      </c>
      <c r="C37" s="59"/>
      <c r="D37" s="59"/>
      <c r="E37" s="59"/>
      <c r="F37" s="59"/>
      <c r="G37" s="59"/>
      <c r="H37" s="59"/>
      <c r="I37" s="59"/>
      <c r="J37" s="59"/>
      <c r="K37" s="59"/>
      <c r="L37" s="59"/>
      <c r="M37" s="59"/>
      <c r="N37" s="59"/>
      <c r="O37" s="59"/>
      <c r="P37" s="59"/>
    </row>
    <row r="38" spans="1:16">
      <c r="A38" s="59" t="s">
        <v>16</v>
      </c>
      <c r="B38" s="59" t="s">
        <v>17</v>
      </c>
      <c r="C38" s="59"/>
      <c r="D38" s="59"/>
      <c r="E38" s="59"/>
      <c r="F38" s="59"/>
      <c r="G38" s="59"/>
      <c r="H38" s="59"/>
      <c r="I38" s="59"/>
      <c r="J38" s="59"/>
      <c r="K38" s="59"/>
      <c r="L38" s="59"/>
      <c r="M38" s="59"/>
      <c r="N38" s="59"/>
      <c r="O38" s="59"/>
      <c r="P38" s="59"/>
    </row>
    <row r="39" spans="1:16" ht="15.6">
      <c r="A39" s="59" t="s">
        <v>18</v>
      </c>
      <c r="B39" s="180" t="s">
        <v>37</v>
      </c>
      <c r="C39" s="59"/>
      <c r="D39" s="59"/>
      <c r="E39" s="59" t="s">
        <v>235</v>
      </c>
      <c r="F39" s="59"/>
      <c r="G39" s="59"/>
      <c r="H39" s="59"/>
      <c r="I39" s="59"/>
      <c r="J39" s="59"/>
      <c r="K39" s="59"/>
      <c r="L39" s="59"/>
      <c r="M39" s="59"/>
      <c r="N39" s="59"/>
      <c r="O39" s="59"/>
      <c r="P39" s="59"/>
    </row>
    <row r="40" spans="1:16" ht="15.6">
      <c r="A40" s="181" t="s">
        <v>19</v>
      </c>
      <c r="B40" s="59"/>
      <c r="C40" s="59"/>
      <c r="D40" s="59"/>
      <c r="E40" s="59"/>
      <c r="F40" s="59"/>
      <c r="G40" s="59"/>
      <c r="H40" s="59"/>
      <c r="I40" s="59"/>
      <c r="J40" s="59"/>
      <c r="K40" s="59"/>
      <c r="L40" s="59"/>
      <c r="M40" s="59"/>
      <c r="N40" s="59"/>
      <c r="O40" s="59"/>
      <c r="P40" s="59"/>
    </row>
    <row r="41" spans="1:16" ht="15.6">
      <c r="A41" s="181" t="s">
        <v>20</v>
      </c>
      <c r="B41" s="181" t="s">
        <v>21</v>
      </c>
      <c r="C41" s="181" t="s">
        <v>217</v>
      </c>
      <c r="D41" s="181" t="s">
        <v>18</v>
      </c>
      <c r="E41" s="181" t="s">
        <v>22</v>
      </c>
      <c r="F41" s="181" t="s">
        <v>7</v>
      </c>
      <c r="G41" s="181" t="s">
        <v>13</v>
      </c>
      <c r="H41" s="181" t="s">
        <v>16</v>
      </c>
      <c r="I41" s="181" t="s">
        <v>23</v>
      </c>
      <c r="J41" s="181" t="s">
        <v>24</v>
      </c>
      <c r="K41" s="181" t="s">
        <v>25</v>
      </c>
      <c r="L41" s="181" t="s">
        <v>26</v>
      </c>
      <c r="M41" s="181" t="s">
        <v>27</v>
      </c>
      <c r="N41" s="181" t="s">
        <v>28</v>
      </c>
      <c r="O41" s="181" t="s">
        <v>11</v>
      </c>
      <c r="P41" s="181" t="s">
        <v>702</v>
      </c>
    </row>
    <row r="42" spans="1:16" ht="15.6">
      <c r="A42" s="180" t="str">
        <f>B32</f>
        <v>treatment of aluminium,powerplant, PEMFC-bat, Long-Term</v>
      </c>
      <c r="B42" s="180">
        <v>1</v>
      </c>
      <c r="C42" s="180"/>
      <c r="D42" s="180" t="s">
        <v>37</v>
      </c>
      <c r="E42" s="59" t="s">
        <v>2</v>
      </c>
      <c r="F42" s="59" t="s">
        <v>1873</v>
      </c>
      <c r="G42" s="180" t="s">
        <v>59</v>
      </c>
      <c r="H42" s="59" t="s">
        <v>30</v>
      </c>
      <c r="I42" s="59">
        <v>0</v>
      </c>
      <c r="J42" s="180" t="s">
        <v>31</v>
      </c>
      <c r="K42" s="180" t="s">
        <v>31</v>
      </c>
      <c r="L42" s="180" t="s">
        <v>31</v>
      </c>
      <c r="M42" s="180" t="s">
        <v>31</v>
      </c>
      <c r="N42" s="180" t="s">
        <v>31</v>
      </c>
      <c r="O42" s="59" t="s">
        <v>1889</v>
      </c>
    </row>
    <row r="43" spans="1:16" ht="15.6">
      <c r="A43" t="s">
        <v>263</v>
      </c>
      <c r="B43" s="23">
        <v>0.75</v>
      </c>
      <c r="C43" s="180"/>
      <c r="D43" s="180" t="s">
        <v>37</v>
      </c>
      <c r="E43" s="37" t="s">
        <v>40</v>
      </c>
      <c r="F43" s="59" t="s">
        <v>1873</v>
      </c>
      <c r="G43" s="180" t="s">
        <v>82</v>
      </c>
      <c r="H43" s="59" t="s">
        <v>33</v>
      </c>
      <c r="I43" s="59">
        <v>0</v>
      </c>
      <c r="J43" s="180" t="s">
        <v>31</v>
      </c>
      <c r="K43" s="180" t="s">
        <v>31</v>
      </c>
      <c r="L43" s="180" t="s">
        <v>31</v>
      </c>
      <c r="M43" s="180" t="s">
        <v>31</v>
      </c>
      <c r="N43" s="180" t="s">
        <v>31</v>
      </c>
      <c r="O43" s="59" t="s">
        <v>1854</v>
      </c>
      <c r="P43" s="59"/>
    </row>
    <row r="44" spans="1:16" ht="15.6">
      <c r="A44" t="s">
        <v>265</v>
      </c>
      <c r="B44" s="23">
        <v>0.75</v>
      </c>
      <c r="C44" s="22" t="s">
        <v>266</v>
      </c>
      <c r="D44" t="s">
        <v>37</v>
      </c>
      <c r="E44" s="188" t="s">
        <v>40</v>
      </c>
      <c r="F44" s="59" t="s">
        <v>1873</v>
      </c>
      <c r="G44" s="180" t="s">
        <v>82</v>
      </c>
      <c r="H44" s="59" t="s">
        <v>33</v>
      </c>
      <c r="I44" s="59">
        <v>0</v>
      </c>
      <c r="J44" s="180" t="s">
        <v>31</v>
      </c>
      <c r="K44" s="180" t="s">
        <v>31</v>
      </c>
      <c r="L44" s="180" t="s">
        <v>31</v>
      </c>
      <c r="M44" s="180" t="s">
        <v>31</v>
      </c>
      <c r="N44" s="180" t="s">
        <v>31</v>
      </c>
      <c r="O44" s="180" t="s">
        <v>1367</v>
      </c>
    </row>
    <row r="45" spans="1:16" ht="15.6">
      <c r="A45" t="s">
        <v>347</v>
      </c>
      <c r="B45" s="23">
        <v>0.75</v>
      </c>
      <c r="D45" t="s">
        <v>37</v>
      </c>
      <c r="E45" s="188" t="s">
        <v>40</v>
      </c>
      <c r="F45" s="59" t="s">
        <v>1873</v>
      </c>
      <c r="G45" t="s">
        <v>59</v>
      </c>
      <c r="H45" s="59" t="s">
        <v>136</v>
      </c>
      <c r="I45" s="59">
        <v>0</v>
      </c>
      <c r="J45" s="180" t="s">
        <v>31</v>
      </c>
      <c r="K45" s="180" t="s">
        <v>31</v>
      </c>
      <c r="L45" s="180" t="s">
        <v>31</v>
      </c>
      <c r="M45" s="180" t="s">
        <v>31</v>
      </c>
      <c r="N45" s="180" t="s">
        <v>31</v>
      </c>
      <c r="O45" s="59"/>
    </row>
    <row r="46" spans="1:16" ht="15.6">
      <c r="A46" t="s">
        <v>403</v>
      </c>
      <c r="B46" s="23">
        <f>-0.25</f>
        <v>-0.25</v>
      </c>
      <c r="D46" t="s">
        <v>37</v>
      </c>
      <c r="E46" s="88" t="s">
        <v>40</v>
      </c>
      <c r="F46" s="59" t="s">
        <v>1873</v>
      </c>
      <c r="G46" t="s">
        <v>59</v>
      </c>
      <c r="H46" t="s">
        <v>33</v>
      </c>
      <c r="I46">
        <v>0</v>
      </c>
      <c r="J46" t="s">
        <v>31</v>
      </c>
      <c r="K46" t="s">
        <v>31</v>
      </c>
      <c r="L46" t="s">
        <v>31</v>
      </c>
      <c r="M46" t="s">
        <v>31</v>
      </c>
      <c r="N46" t="s">
        <v>31</v>
      </c>
      <c r="O46" s="17"/>
      <c r="P46" s="59"/>
    </row>
    <row r="47" spans="1:16" s="70" customFormat="1" ht="15.6">
      <c r="A47" s="178" t="s">
        <v>5</v>
      </c>
      <c r="B47" s="178" t="s">
        <v>1890</v>
      </c>
      <c r="C47" s="178"/>
      <c r="D47" s="69"/>
      <c r="E47" s="144"/>
      <c r="F47" s="144"/>
      <c r="G47" s="144"/>
      <c r="H47" s="144"/>
      <c r="I47" s="144"/>
      <c r="J47" s="144"/>
      <c r="K47" s="144"/>
      <c r="L47" s="144"/>
      <c r="M47" s="144"/>
      <c r="N47" s="144"/>
      <c r="O47" s="144"/>
      <c r="P47" s="144"/>
    </row>
    <row r="48" spans="1:16">
      <c r="A48" s="59" t="s">
        <v>7</v>
      </c>
      <c r="B48" s="59" t="s">
        <v>1873</v>
      </c>
      <c r="C48" s="59"/>
      <c r="D48" s="59"/>
      <c r="E48" s="59"/>
      <c r="F48" s="59"/>
      <c r="G48" s="59"/>
      <c r="H48" s="59"/>
      <c r="I48" s="59"/>
      <c r="J48" s="59"/>
      <c r="K48" s="59"/>
      <c r="L48" s="59"/>
      <c r="M48" s="59"/>
      <c r="N48" s="59"/>
      <c r="O48" s="59"/>
      <c r="P48" s="59"/>
    </row>
    <row r="49" spans="1:17">
      <c r="A49" s="59" t="s">
        <v>9</v>
      </c>
      <c r="B49" s="201" t="s">
        <v>1891</v>
      </c>
      <c r="C49" s="59"/>
      <c r="D49" s="59"/>
      <c r="E49" s="59"/>
      <c r="F49" s="59"/>
      <c r="G49" s="59"/>
      <c r="H49" s="59"/>
      <c r="I49" s="59"/>
      <c r="J49" s="59"/>
      <c r="K49" s="59"/>
      <c r="L49" s="59"/>
      <c r="M49" s="59"/>
      <c r="N49" s="59"/>
      <c r="O49" s="59"/>
      <c r="P49" s="59"/>
    </row>
    <row r="50" spans="1:17">
      <c r="A50" s="59" t="s">
        <v>11</v>
      </c>
      <c r="B50" s="59" t="s">
        <v>232</v>
      </c>
      <c r="C50" s="59"/>
      <c r="D50" s="59"/>
      <c r="E50" s="59"/>
      <c r="F50" s="59"/>
      <c r="G50" s="59"/>
      <c r="H50" s="59"/>
      <c r="I50" s="59"/>
      <c r="J50" s="59"/>
      <c r="K50" s="59"/>
      <c r="L50" s="59"/>
      <c r="M50" s="59"/>
      <c r="N50" s="59"/>
      <c r="O50" s="59"/>
      <c r="P50" s="59"/>
    </row>
    <row r="51" spans="1:17">
      <c r="A51" s="59" t="s">
        <v>13</v>
      </c>
      <c r="B51" s="59" t="s">
        <v>59</v>
      </c>
      <c r="C51" s="59"/>
      <c r="D51" s="59"/>
      <c r="E51" s="59"/>
      <c r="F51" s="59"/>
      <c r="G51" s="59"/>
      <c r="H51" s="59"/>
      <c r="I51" s="59"/>
      <c r="J51" s="59"/>
      <c r="K51" s="59"/>
      <c r="L51" s="59"/>
      <c r="M51" s="59"/>
      <c r="N51" s="59"/>
      <c r="O51" s="59"/>
      <c r="P51" s="59"/>
    </row>
    <row r="52" spans="1:17">
      <c r="A52" s="59" t="s">
        <v>15</v>
      </c>
      <c r="B52" s="59">
        <v>1</v>
      </c>
      <c r="C52" s="59"/>
      <c r="D52" s="59"/>
      <c r="E52" s="59"/>
      <c r="F52" s="59"/>
      <c r="G52" s="59"/>
      <c r="H52" s="59"/>
      <c r="I52" s="59"/>
      <c r="J52" s="59"/>
      <c r="K52" s="59"/>
      <c r="L52" s="59"/>
      <c r="M52" s="59"/>
      <c r="N52" s="59"/>
      <c r="O52" s="59"/>
      <c r="P52" s="59"/>
    </row>
    <row r="53" spans="1:17">
      <c r="A53" s="59" t="s">
        <v>16</v>
      </c>
      <c r="B53" s="59" t="s">
        <v>17</v>
      </c>
      <c r="C53" s="59"/>
      <c r="D53" s="59"/>
      <c r="E53" s="59"/>
      <c r="F53" s="59"/>
      <c r="G53" s="59"/>
      <c r="H53" s="59"/>
      <c r="I53" s="59"/>
      <c r="J53" s="59"/>
      <c r="K53" s="59"/>
      <c r="L53" s="59"/>
      <c r="M53" s="59"/>
      <c r="N53" s="59"/>
      <c r="O53" s="59"/>
      <c r="P53" s="59"/>
    </row>
    <row r="54" spans="1:17" ht="15.6">
      <c r="A54" s="59" t="s">
        <v>18</v>
      </c>
      <c r="B54" s="180" t="s">
        <v>37</v>
      </c>
      <c r="C54" s="59"/>
      <c r="D54" s="59"/>
      <c r="E54" s="59" t="s">
        <v>235</v>
      </c>
      <c r="F54" s="59"/>
      <c r="G54" s="59"/>
      <c r="H54" s="59"/>
      <c r="I54" s="59"/>
      <c r="J54" s="59"/>
      <c r="K54" s="59"/>
      <c r="L54" s="59"/>
      <c r="M54" s="59"/>
      <c r="N54" s="59"/>
      <c r="O54" s="59"/>
      <c r="P54" s="59"/>
    </row>
    <row r="55" spans="1:17" ht="15.6">
      <c r="A55" s="181" t="s">
        <v>19</v>
      </c>
      <c r="B55" s="59"/>
      <c r="C55" s="59"/>
      <c r="D55" s="59"/>
      <c r="E55" s="59"/>
      <c r="F55" s="59"/>
      <c r="G55" s="59"/>
      <c r="H55" s="59"/>
      <c r="I55" s="59"/>
      <c r="J55" s="59"/>
      <c r="K55" s="59"/>
      <c r="L55" s="59"/>
      <c r="M55" s="59"/>
      <c r="N55" s="59"/>
      <c r="O55" s="59"/>
      <c r="P55" s="59"/>
    </row>
    <row r="56" spans="1:17" ht="15.6">
      <c r="A56" s="181" t="s">
        <v>20</v>
      </c>
      <c r="B56" s="181" t="s">
        <v>21</v>
      </c>
      <c r="C56" s="181" t="s">
        <v>217</v>
      </c>
      <c r="D56" s="181" t="s">
        <v>18</v>
      </c>
      <c r="E56" s="181" t="s">
        <v>22</v>
      </c>
      <c r="F56" s="181" t="s">
        <v>7</v>
      </c>
      <c r="G56" s="181" t="s">
        <v>13</v>
      </c>
      <c r="H56" s="181" t="s">
        <v>16</v>
      </c>
      <c r="I56" s="181" t="s">
        <v>23</v>
      </c>
      <c r="J56" s="181" t="s">
        <v>24</v>
      </c>
      <c r="K56" s="181" t="s">
        <v>25</v>
      </c>
      <c r="L56" s="181" t="s">
        <v>26</v>
      </c>
      <c r="M56" s="181" t="s">
        <v>27</v>
      </c>
      <c r="N56" s="181" t="s">
        <v>28</v>
      </c>
      <c r="O56" s="181" t="s">
        <v>11</v>
      </c>
      <c r="P56" s="181" t="s">
        <v>702</v>
      </c>
    </row>
    <row r="57" spans="1:17" ht="15.6">
      <c r="A57" s="180" t="str">
        <f>B47</f>
        <v>treatment of iron-nickel chromium alloy,powerplant, PEMFC-bat, Long-Term</v>
      </c>
      <c r="B57" s="180">
        <v>1</v>
      </c>
      <c r="C57" s="180"/>
      <c r="D57" s="180" t="s">
        <v>37</v>
      </c>
      <c r="E57" s="59" t="s">
        <v>2</v>
      </c>
      <c r="F57" s="59" t="s">
        <v>1873</v>
      </c>
      <c r="G57" s="180" t="s">
        <v>59</v>
      </c>
      <c r="H57" s="59" t="s">
        <v>30</v>
      </c>
      <c r="I57" s="59">
        <v>0</v>
      </c>
      <c r="J57" s="180" t="s">
        <v>31</v>
      </c>
      <c r="K57" s="180" t="s">
        <v>31</v>
      </c>
      <c r="L57" s="180" t="s">
        <v>31</v>
      </c>
      <c r="M57" s="180" t="s">
        <v>31</v>
      </c>
      <c r="N57" s="180" t="s">
        <v>31</v>
      </c>
      <c r="O57" s="59" t="s">
        <v>1889</v>
      </c>
    </row>
    <row r="58" spans="1:17" ht="15.6">
      <c r="A58" t="s">
        <v>442</v>
      </c>
      <c r="B58">
        <v>0.85</v>
      </c>
      <c r="C58" t="s">
        <v>443</v>
      </c>
      <c r="D58" t="s">
        <v>37</v>
      </c>
      <c r="E58" t="s">
        <v>40</v>
      </c>
      <c r="F58" s="59" t="s">
        <v>1873</v>
      </c>
      <c r="G58" t="s">
        <v>82</v>
      </c>
      <c r="H58" t="s">
        <v>33</v>
      </c>
      <c r="I58" s="59">
        <v>0</v>
      </c>
      <c r="J58" s="180" t="s">
        <v>31</v>
      </c>
      <c r="K58" s="180" t="s">
        <v>31</v>
      </c>
      <c r="L58" s="180" t="s">
        <v>31</v>
      </c>
      <c r="M58" s="180" t="s">
        <v>31</v>
      </c>
      <c r="N58" s="180" t="s">
        <v>31</v>
      </c>
      <c r="O58" s="59" t="s">
        <v>1889</v>
      </c>
      <c r="Q58" t="s">
        <v>231</v>
      </c>
    </row>
    <row r="59" spans="1:17" ht="15.6">
      <c r="A59" t="s">
        <v>152</v>
      </c>
      <c r="B59">
        <v>0.85</v>
      </c>
      <c r="D59" t="s">
        <v>37</v>
      </c>
      <c r="E59" t="s">
        <v>40</v>
      </c>
      <c r="F59" s="59" t="s">
        <v>1873</v>
      </c>
      <c r="G59" t="s">
        <v>59</v>
      </c>
      <c r="H59" t="s">
        <v>136</v>
      </c>
      <c r="I59" s="59">
        <v>0</v>
      </c>
      <c r="J59" s="180" t="s">
        <v>31</v>
      </c>
      <c r="K59" s="180" t="s">
        <v>31</v>
      </c>
      <c r="L59" s="180" t="s">
        <v>31</v>
      </c>
      <c r="M59" s="180" t="s">
        <v>31</v>
      </c>
      <c r="N59" s="180" t="s">
        <v>31</v>
      </c>
      <c r="O59" s="59" t="s">
        <v>1889</v>
      </c>
      <c r="Q59" t="s">
        <v>231</v>
      </c>
    </row>
    <row r="60" spans="1:17">
      <c r="A60" t="s">
        <v>403</v>
      </c>
      <c r="B60" s="23">
        <f>-0.25</f>
        <v>-0.25</v>
      </c>
      <c r="D60" t="s">
        <v>37</v>
      </c>
      <c r="E60" s="88" t="s">
        <v>40</v>
      </c>
      <c r="F60" s="59" t="s">
        <v>1873</v>
      </c>
      <c r="G60" t="s">
        <v>59</v>
      </c>
      <c r="H60" t="s">
        <v>33</v>
      </c>
      <c r="I60">
        <v>0</v>
      </c>
      <c r="J60" t="s">
        <v>31</v>
      </c>
      <c r="K60" t="s">
        <v>31</v>
      </c>
      <c r="L60" t="s">
        <v>31</v>
      </c>
      <c r="M60" t="s">
        <v>31</v>
      </c>
      <c r="N60" t="s">
        <v>31</v>
      </c>
      <c r="O60" s="59" t="s">
        <v>1889</v>
      </c>
    </row>
    <row r="61" spans="1:17" s="70" customFormat="1" ht="15.6">
      <c r="A61" s="178" t="s">
        <v>5</v>
      </c>
      <c r="B61" s="178" t="s">
        <v>1892</v>
      </c>
      <c r="C61" s="178"/>
      <c r="D61" s="69"/>
      <c r="E61" s="144"/>
      <c r="F61" s="144"/>
      <c r="G61" s="144"/>
      <c r="H61" s="144"/>
      <c r="I61" s="144"/>
      <c r="J61" s="144"/>
      <c r="K61" s="144"/>
      <c r="L61" s="144"/>
      <c r="M61" s="144"/>
      <c r="N61" s="144"/>
      <c r="O61" s="144"/>
      <c r="P61" s="144"/>
    </row>
    <row r="62" spans="1:17">
      <c r="A62" s="59" t="s">
        <v>7</v>
      </c>
      <c r="B62" s="59" t="s">
        <v>1873</v>
      </c>
      <c r="C62" s="59"/>
      <c r="D62" s="59"/>
      <c r="E62" s="59"/>
      <c r="F62" s="59"/>
      <c r="G62" s="59"/>
      <c r="H62" s="59"/>
      <c r="I62" s="59"/>
      <c r="J62" s="59"/>
      <c r="K62" s="59"/>
      <c r="L62" s="59"/>
      <c r="M62" s="59"/>
      <c r="N62" s="59"/>
      <c r="O62" s="59"/>
      <c r="P62" s="59"/>
    </row>
    <row r="63" spans="1:17">
      <c r="A63" s="59" t="s">
        <v>9</v>
      </c>
      <c r="B63" s="201" t="s">
        <v>1893</v>
      </c>
      <c r="C63" s="59"/>
      <c r="D63" s="59"/>
      <c r="E63" s="59"/>
      <c r="F63" s="59"/>
      <c r="G63" s="59"/>
      <c r="H63" s="59"/>
      <c r="I63" s="59"/>
      <c r="J63" s="59"/>
      <c r="K63" s="59"/>
      <c r="L63" s="59"/>
      <c r="M63" s="59"/>
      <c r="N63" s="59"/>
      <c r="O63" s="59"/>
      <c r="P63" s="59"/>
    </row>
    <row r="64" spans="1:17">
      <c r="A64" s="59" t="s">
        <v>11</v>
      </c>
      <c r="B64" s="59" t="s">
        <v>232</v>
      </c>
      <c r="C64" s="59"/>
      <c r="D64" s="59"/>
      <c r="E64" s="59"/>
      <c r="F64" s="59"/>
      <c r="G64" s="59"/>
      <c r="H64" s="59"/>
      <c r="I64" s="59"/>
      <c r="J64" s="59"/>
      <c r="K64" s="59"/>
      <c r="L64" s="59"/>
      <c r="M64" s="59"/>
      <c r="N64" s="59"/>
      <c r="O64" s="59"/>
      <c r="P64" s="59"/>
    </row>
    <row r="65" spans="1:17">
      <c r="A65" s="59" t="s">
        <v>13</v>
      </c>
      <c r="B65" s="59" t="s">
        <v>59</v>
      </c>
      <c r="C65" s="59"/>
      <c r="D65" s="59"/>
      <c r="E65" s="59"/>
      <c r="F65" s="59"/>
      <c r="G65" s="59"/>
      <c r="H65" s="59"/>
      <c r="I65" s="59"/>
      <c r="J65" s="59"/>
      <c r="K65" s="59"/>
      <c r="L65" s="59"/>
      <c r="M65" s="59"/>
      <c r="N65" s="59"/>
      <c r="O65" s="59"/>
      <c r="P65" s="59"/>
    </row>
    <row r="66" spans="1:17">
      <c r="A66" s="59" t="s">
        <v>15</v>
      </c>
      <c r="B66" s="59">
        <v>1</v>
      </c>
      <c r="C66" s="59"/>
      <c r="D66" s="59"/>
      <c r="E66" s="59"/>
      <c r="F66" s="59"/>
      <c r="G66" s="59"/>
      <c r="H66" s="59"/>
      <c r="I66" s="59"/>
      <c r="J66" s="59"/>
      <c r="K66" s="59"/>
      <c r="L66" s="59"/>
      <c r="M66" s="59"/>
      <c r="N66" s="59"/>
      <c r="O66" s="59"/>
      <c r="P66" s="59"/>
    </row>
    <row r="67" spans="1:17">
      <c r="A67" s="59" t="s">
        <v>16</v>
      </c>
      <c r="B67" s="59" t="s">
        <v>17</v>
      </c>
      <c r="C67" s="59"/>
      <c r="D67" s="59"/>
      <c r="E67" s="59"/>
      <c r="F67" s="59"/>
      <c r="G67" s="59"/>
      <c r="H67" s="59"/>
      <c r="I67" s="59"/>
      <c r="J67" s="59"/>
      <c r="K67" s="59"/>
      <c r="L67" s="59"/>
      <c r="M67" s="59"/>
      <c r="N67" s="59"/>
      <c r="O67" s="59"/>
      <c r="P67" s="59"/>
    </row>
    <row r="68" spans="1:17" ht="15.6">
      <c r="A68" s="59" t="s">
        <v>18</v>
      </c>
      <c r="B68" s="180" t="s">
        <v>37</v>
      </c>
      <c r="C68" s="59"/>
      <c r="D68" s="59"/>
      <c r="E68" s="59" t="s">
        <v>235</v>
      </c>
      <c r="F68" s="59"/>
      <c r="G68" s="59"/>
      <c r="H68" s="59"/>
      <c r="I68" s="59"/>
      <c r="J68" s="59"/>
      <c r="K68" s="59"/>
      <c r="L68" s="59"/>
      <c r="M68" s="59"/>
      <c r="N68" s="59"/>
      <c r="O68" s="59"/>
      <c r="P68" s="59"/>
    </row>
    <row r="69" spans="1:17" ht="15.6">
      <c r="A69" s="181" t="s">
        <v>19</v>
      </c>
      <c r="B69" s="59"/>
      <c r="C69" s="59"/>
      <c r="D69" s="59"/>
      <c r="E69" s="59"/>
      <c r="F69" s="59"/>
      <c r="G69" s="59"/>
      <c r="H69" s="59"/>
      <c r="I69" s="59"/>
      <c r="J69" s="59"/>
      <c r="K69" s="59"/>
      <c r="L69" s="59"/>
      <c r="M69" s="59"/>
      <c r="N69" s="59"/>
      <c r="O69" s="59"/>
      <c r="P69" s="59"/>
    </row>
    <row r="70" spans="1:17" ht="15.6">
      <c r="A70" s="181" t="s">
        <v>20</v>
      </c>
      <c r="B70" s="181" t="s">
        <v>21</v>
      </c>
      <c r="C70" s="181" t="s">
        <v>217</v>
      </c>
      <c r="D70" s="181" t="s">
        <v>18</v>
      </c>
      <c r="E70" s="181" t="s">
        <v>22</v>
      </c>
      <c r="F70" s="181" t="s">
        <v>7</v>
      </c>
      <c r="G70" s="181" t="s">
        <v>13</v>
      </c>
      <c r="H70" s="181" t="s">
        <v>16</v>
      </c>
      <c r="I70" s="181" t="s">
        <v>23</v>
      </c>
      <c r="J70" s="181" t="s">
        <v>24</v>
      </c>
      <c r="K70" s="181" t="s">
        <v>25</v>
      </c>
      <c r="L70" s="181" t="s">
        <v>26</v>
      </c>
      <c r="M70" s="181" t="s">
        <v>27</v>
      </c>
      <c r="N70" s="181" t="s">
        <v>28</v>
      </c>
      <c r="O70" s="181" t="s">
        <v>11</v>
      </c>
      <c r="P70" s="181" t="s">
        <v>702</v>
      </c>
    </row>
    <row r="71" spans="1:17" ht="15.6">
      <c r="A71" s="180" t="str">
        <f>B61</f>
        <v>treatment of nickel,powerplant, PEMFC-bat, Long-Term</v>
      </c>
      <c r="B71" s="180">
        <v>1</v>
      </c>
      <c r="C71" s="180"/>
      <c r="D71" s="180" t="s">
        <v>37</v>
      </c>
      <c r="E71" s="59" t="s">
        <v>2</v>
      </c>
      <c r="F71" s="59" t="s">
        <v>1873</v>
      </c>
      <c r="G71" s="180" t="s">
        <v>59</v>
      </c>
      <c r="H71" s="59" t="s">
        <v>30</v>
      </c>
      <c r="I71" s="59">
        <v>0</v>
      </c>
      <c r="J71" s="180" t="s">
        <v>31</v>
      </c>
      <c r="K71" s="180" t="s">
        <v>31</v>
      </c>
      <c r="L71" s="180" t="s">
        <v>31</v>
      </c>
      <c r="M71" s="180" t="s">
        <v>31</v>
      </c>
      <c r="N71" s="180" t="s">
        <v>31</v>
      </c>
      <c r="O71" s="59" t="s">
        <v>1889</v>
      </c>
    </row>
    <row r="72" spans="1:17" ht="15.6">
      <c r="A72" t="s">
        <v>442</v>
      </c>
      <c r="B72">
        <v>0.85</v>
      </c>
      <c r="C72" t="s">
        <v>443</v>
      </c>
      <c r="D72" t="s">
        <v>37</v>
      </c>
      <c r="E72" t="s">
        <v>40</v>
      </c>
      <c r="F72" s="59" t="s">
        <v>1873</v>
      </c>
      <c r="G72" t="s">
        <v>82</v>
      </c>
      <c r="H72" t="s">
        <v>33</v>
      </c>
      <c r="I72" s="59">
        <v>0</v>
      </c>
      <c r="J72" s="180" t="s">
        <v>31</v>
      </c>
      <c r="K72" s="180" t="s">
        <v>31</v>
      </c>
      <c r="L72" s="180" t="s">
        <v>31</v>
      </c>
      <c r="M72" s="180" t="s">
        <v>31</v>
      </c>
      <c r="N72" s="180" t="s">
        <v>31</v>
      </c>
      <c r="O72" s="59" t="s">
        <v>1889</v>
      </c>
      <c r="Q72" t="s">
        <v>231</v>
      </c>
    </row>
    <row r="73" spans="1:17" ht="15.6">
      <c r="A73" t="s">
        <v>622</v>
      </c>
      <c r="B73">
        <v>0.85</v>
      </c>
      <c r="D73" t="s">
        <v>37</v>
      </c>
      <c r="E73" t="s">
        <v>40</v>
      </c>
      <c r="F73" s="59" t="s">
        <v>1873</v>
      </c>
      <c r="G73" t="s">
        <v>59</v>
      </c>
      <c r="H73" t="s">
        <v>136</v>
      </c>
      <c r="I73" s="59">
        <v>0</v>
      </c>
      <c r="J73" s="180" t="s">
        <v>31</v>
      </c>
      <c r="K73" s="180" t="s">
        <v>31</v>
      </c>
      <c r="L73" s="180" t="s">
        <v>31</v>
      </c>
      <c r="M73" s="180" t="s">
        <v>31</v>
      </c>
      <c r="N73" s="180" t="s">
        <v>31</v>
      </c>
      <c r="O73" s="59" t="s">
        <v>1889</v>
      </c>
      <c r="Q73" t="s">
        <v>231</v>
      </c>
    </row>
    <row r="74" spans="1:17">
      <c r="A74" t="s">
        <v>403</v>
      </c>
      <c r="B74" s="23">
        <f>-0.25</f>
        <v>-0.25</v>
      </c>
      <c r="D74" t="s">
        <v>37</v>
      </c>
      <c r="E74" s="88" t="s">
        <v>40</v>
      </c>
      <c r="F74" s="59" t="s">
        <v>1873</v>
      </c>
      <c r="G74" t="s">
        <v>59</v>
      </c>
      <c r="H74" t="s">
        <v>33</v>
      </c>
      <c r="I74">
        <v>0</v>
      </c>
      <c r="J74" t="s">
        <v>31</v>
      </c>
      <c r="K74" t="s">
        <v>31</v>
      </c>
      <c r="L74" t="s">
        <v>31</v>
      </c>
      <c r="M74" t="s">
        <v>31</v>
      </c>
      <c r="N74" t="s">
        <v>31</v>
      </c>
      <c r="O74" s="59" t="s">
        <v>1889</v>
      </c>
    </row>
    <row r="75" spans="1:17" s="70" customFormat="1" ht="15.6">
      <c r="A75" s="178" t="s">
        <v>5</v>
      </c>
      <c r="B75" s="178" t="s">
        <v>1894</v>
      </c>
      <c r="C75" s="178"/>
      <c r="D75" s="69"/>
      <c r="E75" s="144"/>
      <c r="F75" s="144"/>
      <c r="G75" s="144"/>
      <c r="H75" s="144"/>
      <c r="I75" s="144"/>
      <c r="J75" s="144"/>
      <c r="K75" s="144"/>
      <c r="L75" s="144"/>
      <c r="M75" s="144"/>
      <c r="N75" s="144"/>
      <c r="O75" s="144"/>
      <c r="P75" s="144"/>
    </row>
    <row r="76" spans="1:17">
      <c r="A76" s="59" t="s">
        <v>7</v>
      </c>
      <c r="B76" s="59" t="s">
        <v>1873</v>
      </c>
      <c r="C76" s="59"/>
      <c r="D76" s="59"/>
      <c r="E76" s="59"/>
      <c r="F76" s="59"/>
      <c r="G76" s="59"/>
      <c r="H76" s="59"/>
      <c r="I76" s="59"/>
      <c r="J76" s="59"/>
      <c r="K76" s="59"/>
      <c r="L76" s="59"/>
      <c r="M76" s="59"/>
      <c r="N76" s="59"/>
      <c r="O76" s="59"/>
      <c r="P76" s="59"/>
    </row>
    <row r="77" spans="1:17">
      <c r="A77" s="59" t="s">
        <v>9</v>
      </c>
      <c r="B77" s="201" t="s">
        <v>1895</v>
      </c>
      <c r="C77" s="59"/>
      <c r="D77" s="59"/>
      <c r="E77" s="59"/>
      <c r="F77" s="59"/>
      <c r="G77" s="59"/>
      <c r="H77" s="59"/>
      <c r="I77" s="59"/>
      <c r="J77" s="59"/>
      <c r="K77" s="59"/>
      <c r="L77" s="59"/>
      <c r="M77" s="59"/>
      <c r="N77" s="59"/>
      <c r="O77" s="59"/>
      <c r="P77" s="59"/>
    </row>
    <row r="78" spans="1:17">
      <c r="A78" s="59" t="s">
        <v>11</v>
      </c>
      <c r="B78" s="59" t="s">
        <v>232</v>
      </c>
      <c r="C78" s="59"/>
      <c r="D78" s="59"/>
      <c r="E78" s="59"/>
      <c r="F78" s="59"/>
      <c r="G78" s="59"/>
      <c r="H78" s="59"/>
      <c r="I78" s="59"/>
      <c r="J78" s="59"/>
      <c r="K78" s="59"/>
      <c r="L78" s="59"/>
      <c r="M78" s="59"/>
      <c r="N78" s="59"/>
      <c r="O78" s="59"/>
      <c r="P78" s="59"/>
    </row>
    <row r="79" spans="1:17">
      <c r="A79" s="59" t="s">
        <v>13</v>
      </c>
      <c r="B79" s="59" t="s">
        <v>59</v>
      </c>
      <c r="C79" s="59"/>
      <c r="D79" s="59"/>
      <c r="E79" s="59"/>
      <c r="F79" s="59"/>
      <c r="G79" s="59"/>
      <c r="H79" s="59"/>
      <c r="I79" s="59"/>
      <c r="J79" s="59"/>
      <c r="K79" s="59"/>
      <c r="L79" s="59"/>
      <c r="M79" s="59"/>
      <c r="N79" s="59"/>
      <c r="O79" s="59"/>
      <c r="P79" s="59"/>
    </row>
    <row r="80" spans="1:17">
      <c r="A80" s="59" t="s">
        <v>15</v>
      </c>
      <c r="B80" s="59">
        <v>1</v>
      </c>
      <c r="C80" s="59"/>
      <c r="D80" s="59"/>
      <c r="E80" s="59"/>
      <c r="F80" s="59"/>
      <c r="G80" s="59"/>
      <c r="H80" s="59"/>
      <c r="I80" s="59"/>
      <c r="J80" s="59"/>
      <c r="K80" s="59"/>
      <c r="L80" s="59"/>
      <c r="M80" s="59"/>
      <c r="N80" s="59"/>
      <c r="O80" s="59"/>
      <c r="P80" s="59"/>
    </row>
    <row r="81" spans="1:17">
      <c r="A81" s="59" t="s">
        <v>16</v>
      </c>
      <c r="B81" s="59" t="s">
        <v>17</v>
      </c>
      <c r="C81" s="59"/>
      <c r="D81" s="59"/>
      <c r="E81" s="59"/>
      <c r="F81" s="59"/>
      <c r="G81" s="59"/>
      <c r="H81" s="59"/>
      <c r="I81" s="59"/>
      <c r="J81" s="59"/>
      <c r="K81" s="59"/>
      <c r="L81" s="59"/>
      <c r="M81" s="59"/>
      <c r="N81" s="59"/>
      <c r="O81" s="59"/>
      <c r="P81" s="59"/>
    </row>
    <row r="82" spans="1:17" ht="15.6">
      <c r="A82" s="59" t="s">
        <v>18</v>
      </c>
      <c r="B82" s="180" t="s">
        <v>37</v>
      </c>
      <c r="C82" s="59"/>
      <c r="D82" s="59"/>
      <c r="E82" s="59" t="s">
        <v>235</v>
      </c>
      <c r="F82" s="59"/>
      <c r="G82" s="59"/>
      <c r="H82" s="59"/>
      <c r="I82" s="59"/>
      <c r="J82" s="59"/>
      <c r="K82" s="59"/>
      <c r="L82" s="59"/>
      <c r="M82" s="59"/>
      <c r="N82" s="59"/>
      <c r="O82" s="59"/>
      <c r="P82" s="59"/>
    </row>
    <row r="83" spans="1:17" ht="15.6">
      <c r="A83" s="181" t="s">
        <v>19</v>
      </c>
      <c r="B83" s="59"/>
      <c r="C83" s="59"/>
      <c r="D83" s="59"/>
      <c r="E83" s="59"/>
      <c r="F83" s="59"/>
      <c r="G83" s="59"/>
      <c r="H83" s="59"/>
      <c r="I83" s="59"/>
      <c r="J83" s="59"/>
      <c r="K83" s="59"/>
      <c r="L83" s="59"/>
      <c r="M83" s="59"/>
      <c r="N83" s="59"/>
      <c r="O83" s="59"/>
      <c r="P83" s="59"/>
    </row>
    <row r="84" spans="1:17" ht="15.6">
      <c r="A84" s="181" t="s">
        <v>20</v>
      </c>
      <c r="B84" s="181" t="s">
        <v>21</v>
      </c>
      <c r="C84" s="181" t="s">
        <v>217</v>
      </c>
      <c r="D84" s="181" t="s">
        <v>18</v>
      </c>
      <c r="E84" s="181" t="s">
        <v>22</v>
      </c>
      <c r="F84" s="181" t="s">
        <v>7</v>
      </c>
      <c r="G84" s="181" t="s">
        <v>13</v>
      </c>
      <c r="H84" s="181" t="s">
        <v>16</v>
      </c>
      <c r="I84" s="181" t="s">
        <v>23</v>
      </c>
      <c r="J84" s="181" t="s">
        <v>24</v>
      </c>
      <c r="K84" s="181" t="s">
        <v>25</v>
      </c>
      <c r="L84" s="181" t="s">
        <v>26</v>
      </c>
      <c r="M84" s="181" t="s">
        <v>27</v>
      </c>
      <c r="N84" s="181" t="s">
        <v>28</v>
      </c>
      <c r="O84" s="181" t="s">
        <v>11</v>
      </c>
      <c r="P84" s="181" t="s">
        <v>702</v>
      </c>
    </row>
    <row r="85" spans="1:17" ht="15.6">
      <c r="A85" s="180" t="str">
        <f>B75</f>
        <v>treatment of copper,powerplant, PEMFC-bat, Long-Term</v>
      </c>
      <c r="B85" s="180">
        <v>1</v>
      </c>
      <c r="C85" s="180"/>
      <c r="D85" s="180" t="s">
        <v>37</v>
      </c>
      <c r="E85" s="59" t="s">
        <v>2</v>
      </c>
      <c r="F85" s="59" t="s">
        <v>1873</v>
      </c>
      <c r="G85" s="180" t="s">
        <v>59</v>
      </c>
      <c r="H85" s="59" t="s">
        <v>30</v>
      </c>
      <c r="I85" s="59">
        <v>0</v>
      </c>
      <c r="J85" s="180" t="s">
        <v>31</v>
      </c>
      <c r="K85" s="180" t="s">
        <v>31</v>
      </c>
      <c r="L85" s="180" t="s">
        <v>31</v>
      </c>
      <c r="M85" s="180" t="s">
        <v>31</v>
      </c>
      <c r="N85" s="180" t="s">
        <v>31</v>
      </c>
      <c r="O85" s="59" t="s">
        <v>1889</v>
      </c>
    </row>
    <row r="86" spans="1:17" ht="15.6">
      <c r="A86" t="s">
        <v>442</v>
      </c>
      <c r="B86">
        <v>0.85</v>
      </c>
      <c r="C86" t="s">
        <v>443</v>
      </c>
      <c r="D86" t="s">
        <v>37</v>
      </c>
      <c r="E86" t="s">
        <v>40</v>
      </c>
      <c r="F86" s="59" t="s">
        <v>1873</v>
      </c>
      <c r="G86" t="s">
        <v>82</v>
      </c>
      <c r="H86" t="s">
        <v>33</v>
      </c>
      <c r="I86" s="59">
        <v>0</v>
      </c>
      <c r="J86" s="180" t="s">
        <v>31</v>
      </c>
      <c r="K86" s="180" t="s">
        <v>31</v>
      </c>
      <c r="L86" s="180" t="s">
        <v>31</v>
      </c>
      <c r="M86" s="180" t="s">
        <v>31</v>
      </c>
      <c r="N86" s="180" t="s">
        <v>31</v>
      </c>
      <c r="O86" s="59" t="s">
        <v>1889</v>
      </c>
      <c r="Q86" t="s">
        <v>231</v>
      </c>
    </row>
    <row r="87" spans="1:17" ht="15.6">
      <c r="A87" t="s">
        <v>1372</v>
      </c>
      <c r="B87">
        <v>0.85</v>
      </c>
      <c r="D87" t="s">
        <v>37</v>
      </c>
      <c r="E87" t="s">
        <v>40</v>
      </c>
      <c r="F87" s="59" t="s">
        <v>1873</v>
      </c>
      <c r="G87" t="s">
        <v>59</v>
      </c>
      <c r="H87" t="s">
        <v>136</v>
      </c>
      <c r="I87" s="59">
        <v>0</v>
      </c>
      <c r="J87" s="180" t="s">
        <v>31</v>
      </c>
      <c r="K87" s="180" t="s">
        <v>31</v>
      </c>
      <c r="L87" s="180" t="s">
        <v>31</v>
      </c>
      <c r="M87" s="180" t="s">
        <v>31</v>
      </c>
      <c r="N87" s="180" t="s">
        <v>31</v>
      </c>
      <c r="O87" s="59" t="s">
        <v>1889</v>
      </c>
      <c r="Q87" t="s">
        <v>231</v>
      </c>
    </row>
    <row r="88" spans="1:17">
      <c r="A88" t="s">
        <v>403</v>
      </c>
      <c r="B88" s="23">
        <f>-0.25</f>
        <v>-0.25</v>
      </c>
      <c r="D88" t="s">
        <v>37</v>
      </c>
      <c r="E88" s="88" t="s">
        <v>40</v>
      </c>
      <c r="F88" s="59" t="s">
        <v>1873</v>
      </c>
      <c r="G88" t="s">
        <v>59</v>
      </c>
      <c r="H88" t="s">
        <v>33</v>
      </c>
      <c r="I88">
        <v>0</v>
      </c>
      <c r="J88" t="s">
        <v>31</v>
      </c>
      <c r="K88" t="s">
        <v>31</v>
      </c>
      <c r="L88" t="s">
        <v>31</v>
      </c>
      <c r="M88" t="s">
        <v>31</v>
      </c>
      <c r="N88" t="s">
        <v>31</v>
      </c>
      <c r="O88" s="59" t="s">
        <v>1889</v>
      </c>
    </row>
    <row r="89" spans="1:17" s="70" customFormat="1" ht="15.6">
      <c r="A89" s="178" t="s">
        <v>5</v>
      </c>
      <c r="B89" s="178" t="s">
        <v>1896</v>
      </c>
      <c r="C89" s="178"/>
      <c r="D89" s="69"/>
      <c r="E89" s="144"/>
      <c r="F89" s="144"/>
      <c r="G89" s="144"/>
      <c r="H89" s="144"/>
      <c r="I89" s="144"/>
      <c r="J89" s="144"/>
      <c r="K89" s="144"/>
      <c r="L89" s="144"/>
      <c r="M89" s="144"/>
      <c r="N89" s="144"/>
      <c r="O89" s="144"/>
      <c r="P89" s="144"/>
    </row>
    <row r="90" spans="1:17">
      <c r="A90" s="59" t="s">
        <v>7</v>
      </c>
      <c r="B90" s="59" t="s">
        <v>1873</v>
      </c>
      <c r="C90" s="59"/>
      <c r="D90" s="59"/>
      <c r="E90" s="59"/>
      <c r="F90" s="59"/>
      <c r="G90" s="59"/>
      <c r="H90" s="59"/>
      <c r="I90" s="59"/>
      <c r="J90" s="59"/>
      <c r="K90" s="59"/>
      <c r="L90" s="59"/>
      <c r="M90" s="59"/>
      <c r="N90" s="59"/>
      <c r="O90" s="59"/>
      <c r="P90" s="59"/>
    </row>
    <row r="91" spans="1:17">
      <c r="A91" s="59" t="s">
        <v>9</v>
      </c>
      <c r="B91" s="201" t="s">
        <v>1897</v>
      </c>
      <c r="C91" s="59"/>
      <c r="D91" s="59"/>
      <c r="E91" s="59"/>
      <c r="F91" s="59"/>
      <c r="G91" s="59"/>
      <c r="H91" s="59"/>
      <c r="I91" s="59"/>
      <c r="J91" s="59"/>
      <c r="K91" s="59"/>
      <c r="L91" s="59"/>
      <c r="M91" s="59"/>
      <c r="N91" s="59"/>
      <c r="O91" s="59"/>
      <c r="P91" s="59"/>
    </row>
    <row r="92" spans="1:17">
      <c r="A92" s="59" t="s">
        <v>11</v>
      </c>
      <c r="B92" s="59" t="s">
        <v>232</v>
      </c>
      <c r="C92" s="59"/>
      <c r="D92" s="59"/>
      <c r="E92" s="59"/>
      <c r="F92" s="59"/>
      <c r="G92" s="59"/>
      <c r="H92" s="59"/>
      <c r="I92" s="59"/>
      <c r="J92" s="59"/>
      <c r="K92" s="59"/>
      <c r="L92" s="59"/>
      <c r="M92" s="59"/>
      <c r="N92" s="59"/>
      <c r="O92" s="59"/>
      <c r="P92" s="59"/>
    </row>
    <row r="93" spans="1:17">
      <c r="A93" s="59" t="s">
        <v>13</v>
      </c>
      <c r="B93" s="59" t="s">
        <v>59</v>
      </c>
      <c r="C93" s="59"/>
      <c r="D93" s="59"/>
      <c r="E93" s="59"/>
      <c r="F93" s="59"/>
      <c r="G93" s="59"/>
      <c r="H93" s="59"/>
      <c r="I93" s="59"/>
      <c r="J93" s="59"/>
      <c r="K93" s="59"/>
      <c r="L93" s="59"/>
      <c r="M93" s="59"/>
      <c r="N93" s="59"/>
      <c r="O93" s="59"/>
      <c r="P93" s="59"/>
    </row>
    <row r="94" spans="1:17">
      <c r="A94" s="59" t="s">
        <v>15</v>
      </c>
      <c r="B94" s="59">
        <v>1</v>
      </c>
      <c r="C94" s="59"/>
      <c r="D94" s="59"/>
      <c r="E94" s="59"/>
      <c r="F94" s="59"/>
      <c r="G94" s="59"/>
      <c r="H94" s="59"/>
      <c r="I94" s="59"/>
      <c r="J94" s="59"/>
      <c r="K94" s="59"/>
      <c r="L94" s="59"/>
      <c r="M94" s="59"/>
      <c r="N94" s="59"/>
      <c r="O94" s="59"/>
      <c r="P94" s="59"/>
    </row>
    <row r="95" spans="1:17">
      <c r="A95" s="59" t="s">
        <v>16</v>
      </c>
      <c r="B95" s="59" t="s">
        <v>17</v>
      </c>
      <c r="C95" s="59"/>
      <c r="D95" s="59"/>
      <c r="E95" s="59"/>
      <c r="F95" s="59"/>
      <c r="G95" s="59"/>
      <c r="H95" s="59"/>
      <c r="I95" s="59"/>
      <c r="J95" s="59"/>
      <c r="K95" s="59"/>
      <c r="L95" s="59"/>
      <c r="M95" s="59"/>
      <c r="N95" s="59"/>
      <c r="O95" s="59"/>
      <c r="P95" s="59"/>
    </row>
    <row r="96" spans="1:17" ht="15.6">
      <c r="A96" s="59" t="s">
        <v>18</v>
      </c>
      <c r="B96" s="180" t="s">
        <v>37</v>
      </c>
      <c r="C96" s="59"/>
      <c r="D96" s="59"/>
      <c r="E96" s="59" t="s">
        <v>235</v>
      </c>
      <c r="F96" s="59"/>
      <c r="G96" s="59"/>
      <c r="H96" s="59"/>
      <c r="I96" s="59"/>
      <c r="J96" s="59"/>
      <c r="K96" s="59"/>
      <c r="L96" s="59"/>
      <c r="M96" s="59"/>
      <c r="N96" s="59"/>
      <c r="O96" s="59"/>
      <c r="P96" s="59"/>
    </row>
    <row r="97" spans="1:17" ht="15.6">
      <c r="A97" s="181" t="s">
        <v>19</v>
      </c>
      <c r="B97" s="59"/>
      <c r="C97" s="59"/>
      <c r="D97" s="59"/>
      <c r="E97" s="59"/>
      <c r="F97" s="59"/>
      <c r="G97" s="59"/>
      <c r="H97" s="59"/>
      <c r="I97" s="59"/>
      <c r="J97" s="59"/>
      <c r="K97" s="59"/>
      <c r="L97" s="59"/>
      <c r="M97" s="59"/>
      <c r="N97" s="59"/>
      <c r="O97" s="59"/>
      <c r="P97" s="59"/>
    </row>
    <row r="98" spans="1:17" ht="15.6">
      <c r="A98" s="181" t="s">
        <v>20</v>
      </c>
      <c r="B98" s="181" t="s">
        <v>21</v>
      </c>
      <c r="C98" s="181" t="s">
        <v>217</v>
      </c>
      <c r="D98" s="181" t="s">
        <v>18</v>
      </c>
      <c r="E98" s="181" t="s">
        <v>22</v>
      </c>
      <c r="F98" s="181" t="s">
        <v>7</v>
      </c>
      <c r="G98" s="181" t="s">
        <v>13</v>
      </c>
      <c r="H98" s="181" t="s">
        <v>16</v>
      </c>
      <c r="I98" s="181" t="s">
        <v>23</v>
      </c>
      <c r="J98" s="181" t="s">
        <v>24</v>
      </c>
      <c r="K98" s="181" t="s">
        <v>25</v>
      </c>
      <c r="L98" s="181" t="s">
        <v>26</v>
      </c>
      <c r="M98" s="181" t="s">
        <v>27</v>
      </c>
      <c r="N98" s="181" t="s">
        <v>28</v>
      </c>
      <c r="O98" s="181" t="s">
        <v>11</v>
      </c>
      <c r="P98" s="181" t="s">
        <v>702</v>
      </c>
    </row>
    <row r="99" spans="1:17" ht="15.6">
      <c r="A99" s="180" t="str">
        <f>B89</f>
        <v>treatment of magnesium alloy powerplant, PEMFC-bat, Long-Term</v>
      </c>
      <c r="B99" s="180">
        <v>1</v>
      </c>
      <c r="C99" s="180"/>
      <c r="D99" s="180" t="s">
        <v>37</v>
      </c>
      <c r="E99" s="59" t="s">
        <v>2</v>
      </c>
      <c r="F99" s="59" t="s">
        <v>1873</v>
      </c>
      <c r="G99" s="180" t="s">
        <v>59</v>
      </c>
      <c r="H99" s="59" t="s">
        <v>30</v>
      </c>
      <c r="I99" s="59">
        <v>0</v>
      </c>
      <c r="J99" s="180" t="s">
        <v>31</v>
      </c>
      <c r="K99" s="180" t="s">
        <v>31</v>
      </c>
      <c r="L99" s="180" t="s">
        <v>31</v>
      </c>
      <c r="M99" s="180" t="s">
        <v>31</v>
      </c>
      <c r="N99" s="180" t="s">
        <v>31</v>
      </c>
      <c r="O99" s="59" t="s">
        <v>1898</v>
      </c>
    </row>
    <row r="100" spans="1:17">
      <c r="A100" t="s">
        <v>403</v>
      </c>
      <c r="B100" s="23">
        <v>-0.1</v>
      </c>
      <c r="D100" t="s">
        <v>37</v>
      </c>
      <c r="E100" s="88" t="s">
        <v>40</v>
      </c>
      <c r="F100" s="59" t="s">
        <v>1873</v>
      </c>
      <c r="G100" t="s">
        <v>59</v>
      </c>
      <c r="H100" t="s">
        <v>33</v>
      </c>
      <c r="I100">
        <v>0</v>
      </c>
      <c r="J100" t="s">
        <v>31</v>
      </c>
      <c r="K100" t="s">
        <v>31</v>
      </c>
      <c r="L100" t="s">
        <v>31</v>
      </c>
      <c r="M100" t="s">
        <v>31</v>
      </c>
      <c r="N100" t="s">
        <v>31</v>
      </c>
      <c r="O100" s="59" t="s">
        <v>1899</v>
      </c>
    </row>
    <row r="101" spans="1:17" ht="15.6">
      <c r="A101" t="s">
        <v>442</v>
      </c>
      <c r="B101">
        <f>0.9*0.85</f>
        <v>0.76500000000000001</v>
      </c>
      <c r="C101" t="s">
        <v>443</v>
      </c>
      <c r="D101" t="s">
        <v>37</v>
      </c>
      <c r="E101" t="s">
        <v>40</v>
      </c>
      <c r="F101" s="59" t="s">
        <v>1873</v>
      </c>
      <c r="G101" t="s">
        <v>82</v>
      </c>
      <c r="H101" t="s">
        <v>33</v>
      </c>
      <c r="I101" s="59">
        <v>0</v>
      </c>
      <c r="J101" s="180" t="s">
        <v>31</v>
      </c>
      <c r="K101" s="180" t="s">
        <v>31</v>
      </c>
      <c r="L101" s="180" t="s">
        <v>31</v>
      </c>
      <c r="M101" s="180" t="s">
        <v>31</v>
      </c>
      <c r="N101" s="180" t="s">
        <v>31</v>
      </c>
      <c r="O101" s="59" t="s">
        <v>1900</v>
      </c>
      <c r="Q101" t="s">
        <v>231</v>
      </c>
    </row>
    <row r="102" spans="1:17">
      <c r="A102" t="s">
        <v>403</v>
      </c>
      <c r="B102" s="23">
        <f>-0.25*0.9</f>
        <v>-0.22500000000000001</v>
      </c>
      <c r="D102" t="s">
        <v>37</v>
      </c>
      <c r="E102" s="88" t="s">
        <v>40</v>
      </c>
      <c r="F102" s="59" t="s">
        <v>1873</v>
      </c>
      <c r="G102" t="s">
        <v>59</v>
      </c>
      <c r="H102" t="s">
        <v>33</v>
      </c>
      <c r="I102">
        <v>0</v>
      </c>
      <c r="J102" t="s">
        <v>31</v>
      </c>
      <c r="K102" t="s">
        <v>31</v>
      </c>
      <c r="L102" t="s">
        <v>31</v>
      </c>
      <c r="M102" t="s">
        <v>31</v>
      </c>
      <c r="N102" t="s">
        <v>31</v>
      </c>
      <c r="O102" s="59" t="s">
        <v>1901</v>
      </c>
    </row>
    <row r="103" spans="1:17" s="70" customFormat="1" ht="15.6">
      <c r="A103" s="178" t="s">
        <v>5</v>
      </c>
      <c r="B103" s="178" t="s">
        <v>1902</v>
      </c>
      <c r="C103" s="178"/>
      <c r="D103" s="69"/>
      <c r="E103" s="144"/>
      <c r="F103" s="144"/>
      <c r="G103" s="144"/>
      <c r="H103" s="144"/>
      <c r="I103" s="144"/>
      <c r="J103" s="144"/>
      <c r="K103" s="144"/>
      <c r="L103" s="144"/>
      <c r="M103" s="144"/>
      <c r="N103" s="144"/>
      <c r="O103" s="144"/>
      <c r="P103" s="144"/>
    </row>
    <row r="104" spans="1:17">
      <c r="A104" s="59" t="s">
        <v>7</v>
      </c>
      <c r="B104" s="59" t="s">
        <v>1873</v>
      </c>
      <c r="C104" s="59"/>
      <c r="D104" s="59"/>
      <c r="E104" s="59"/>
      <c r="F104" s="59"/>
      <c r="G104" s="59"/>
      <c r="H104" s="59"/>
      <c r="I104" s="59"/>
      <c r="J104" s="59"/>
      <c r="K104" s="59"/>
      <c r="L104" s="59"/>
      <c r="M104" s="59"/>
      <c r="N104" s="59"/>
      <c r="O104" s="59"/>
      <c r="P104" s="59"/>
    </row>
    <row r="105" spans="1:17">
      <c r="A105" s="59" t="s">
        <v>9</v>
      </c>
      <c r="B105" s="201" t="s">
        <v>1903</v>
      </c>
      <c r="C105" s="59"/>
      <c r="D105" s="59"/>
      <c r="E105" s="59"/>
      <c r="F105" s="59"/>
      <c r="G105" s="59"/>
      <c r="H105" s="59"/>
      <c r="I105" s="59"/>
      <c r="J105" s="59"/>
      <c r="K105" s="59"/>
      <c r="L105" s="59"/>
      <c r="M105" s="59"/>
      <c r="N105" s="59"/>
      <c r="O105" s="59"/>
      <c r="P105" s="59"/>
    </row>
    <row r="106" spans="1:17">
      <c r="A106" s="59" t="s">
        <v>11</v>
      </c>
      <c r="B106" s="59" t="s">
        <v>232</v>
      </c>
      <c r="C106" s="59"/>
      <c r="D106" s="59"/>
      <c r="E106" s="59"/>
      <c r="F106" s="59"/>
      <c r="G106" s="59"/>
      <c r="H106" s="59"/>
      <c r="I106" s="59"/>
      <c r="J106" s="59"/>
      <c r="K106" s="59"/>
      <c r="L106" s="59"/>
      <c r="M106" s="59"/>
      <c r="N106" s="59"/>
      <c r="O106" s="59"/>
      <c r="P106" s="59"/>
    </row>
    <row r="107" spans="1:17">
      <c r="A107" s="59" t="s">
        <v>13</v>
      </c>
      <c r="B107" s="59" t="s">
        <v>59</v>
      </c>
      <c r="C107" s="59"/>
      <c r="D107" s="59"/>
      <c r="E107" s="59"/>
      <c r="F107" s="59"/>
      <c r="G107" s="59"/>
      <c r="H107" s="59"/>
      <c r="I107" s="59"/>
      <c r="J107" s="59"/>
      <c r="K107" s="59"/>
      <c r="L107" s="59"/>
      <c r="M107" s="59"/>
      <c r="N107" s="59"/>
      <c r="O107" s="59"/>
      <c r="P107" s="59"/>
    </row>
    <row r="108" spans="1:17">
      <c r="A108" s="59" t="s">
        <v>15</v>
      </c>
      <c r="B108" s="59">
        <v>1</v>
      </c>
      <c r="C108" s="59"/>
      <c r="D108" s="59"/>
      <c r="E108" s="59"/>
      <c r="F108" s="59"/>
      <c r="G108" s="59"/>
      <c r="H108" s="59"/>
      <c r="I108" s="59"/>
      <c r="J108" s="59"/>
      <c r="K108" s="59"/>
      <c r="L108" s="59"/>
      <c r="M108" s="59"/>
      <c r="N108" s="59"/>
      <c r="O108" s="59"/>
      <c r="P108" s="59"/>
    </row>
    <row r="109" spans="1:17">
      <c r="A109" s="59" t="s">
        <v>16</v>
      </c>
      <c r="B109" s="59" t="s">
        <v>17</v>
      </c>
      <c r="C109" s="59"/>
      <c r="D109" s="59"/>
      <c r="E109" s="59"/>
      <c r="F109" s="59"/>
      <c r="G109" s="59"/>
      <c r="H109" s="59"/>
      <c r="I109" s="59"/>
      <c r="J109" s="59"/>
      <c r="K109" s="59"/>
      <c r="L109" s="59"/>
      <c r="M109" s="59"/>
      <c r="N109" s="59"/>
      <c r="O109" s="59"/>
      <c r="P109" s="59"/>
    </row>
    <row r="110" spans="1:17" ht="15.6">
      <c r="A110" s="59" t="s">
        <v>18</v>
      </c>
      <c r="B110" s="180" t="s">
        <v>37</v>
      </c>
      <c r="C110" s="59"/>
      <c r="D110" s="59"/>
      <c r="E110" s="59" t="s">
        <v>235</v>
      </c>
      <c r="F110" s="59"/>
      <c r="G110" s="59"/>
      <c r="H110" s="59"/>
      <c r="I110" s="59"/>
      <c r="J110" s="59"/>
      <c r="K110" s="59"/>
      <c r="L110" s="59"/>
      <c r="M110" s="59"/>
      <c r="N110" s="59"/>
      <c r="O110" s="59"/>
      <c r="P110" s="59"/>
    </row>
    <row r="111" spans="1:17" ht="15.6">
      <c r="A111" s="181" t="s">
        <v>19</v>
      </c>
      <c r="B111" s="59"/>
      <c r="C111" s="59"/>
      <c r="D111" s="59"/>
      <c r="E111" s="59"/>
      <c r="F111" s="59"/>
      <c r="G111" s="59"/>
      <c r="H111" s="59"/>
      <c r="I111" s="59"/>
      <c r="J111" s="59"/>
      <c r="K111" s="59"/>
      <c r="L111" s="59"/>
      <c r="M111" s="59"/>
      <c r="N111" s="59"/>
      <c r="O111" s="59"/>
      <c r="P111" s="59"/>
    </row>
    <row r="112" spans="1:17" ht="15.6">
      <c r="A112" s="181" t="s">
        <v>20</v>
      </c>
      <c r="B112" s="181" t="s">
        <v>21</v>
      </c>
      <c r="C112" s="181" t="s">
        <v>217</v>
      </c>
      <c r="D112" s="181" t="s">
        <v>18</v>
      </c>
      <c r="E112" s="181" t="s">
        <v>22</v>
      </c>
      <c r="F112" s="181" t="s">
        <v>7</v>
      </c>
      <c r="G112" s="181" t="s">
        <v>13</v>
      </c>
      <c r="H112" s="181" t="s">
        <v>16</v>
      </c>
      <c r="I112" s="181" t="s">
        <v>23</v>
      </c>
      <c r="J112" s="181" t="s">
        <v>24</v>
      </c>
      <c r="K112" s="181" t="s">
        <v>25</v>
      </c>
      <c r="L112" s="181" t="s">
        <v>26</v>
      </c>
      <c r="M112" s="181" t="s">
        <v>27</v>
      </c>
      <c r="N112" s="181" t="s">
        <v>28</v>
      </c>
      <c r="O112" s="181" t="s">
        <v>11</v>
      </c>
      <c r="P112" s="181" t="s">
        <v>702</v>
      </c>
    </row>
    <row r="113" spans="1:16" ht="15.6">
      <c r="A113" s="180" t="str">
        <f>B103</f>
        <v>treatment of rubber and cellulose fibre powerplant, PEMFC-bat, Long-Term</v>
      </c>
      <c r="B113" s="180">
        <v>1</v>
      </c>
      <c r="C113" s="180"/>
      <c r="D113" s="180" t="s">
        <v>37</v>
      </c>
      <c r="E113" s="59" t="s">
        <v>2</v>
      </c>
      <c r="F113" s="59" t="s">
        <v>1873</v>
      </c>
      <c r="G113" s="180" t="s">
        <v>59</v>
      </c>
      <c r="H113" s="59" t="s">
        <v>30</v>
      </c>
      <c r="I113" s="59">
        <v>0</v>
      </c>
      <c r="J113" s="180" t="s">
        <v>31</v>
      </c>
      <c r="K113" s="180" t="s">
        <v>31</v>
      </c>
      <c r="L113" s="180" t="s">
        <v>31</v>
      </c>
      <c r="M113" s="180" t="s">
        <v>31</v>
      </c>
      <c r="N113" s="180" t="s">
        <v>31</v>
      </c>
      <c r="O113" s="59" t="s">
        <v>1904</v>
      </c>
    </row>
    <row r="114" spans="1:16" ht="15.6">
      <c r="A114" s="88" t="s">
        <v>312</v>
      </c>
      <c r="B114" s="59">
        <f>-1</f>
        <v>-1</v>
      </c>
      <c r="D114" t="s">
        <v>37</v>
      </c>
      <c r="E114" s="188" t="s">
        <v>40</v>
      </c>
      <c r="F114" s="59" t="s">
        <v>1873</v>
      </c>
      <c r="G114" t="s">
        <v>82</v>
      </c>
      <c r="H114" t="s">
        <v>33</v>
      </c>
      <c r="I114" s="59">
        <v>0</v>
      </c>
      <c r="J114" s="180" t="s">
        <v>31</v>
      </c>
      <c r="K114" s="180" t="s">
        <v>31</v>
      </c>
      <c r="L114" s="180" t="s">
        <v>31</v>
      </c>
      <c r="M114" s="180" t="s">
        <v>31</v>
      </c>
      <c r="N114" s="180" t="s">
        <v>31</v>
      </c>
      <c r="O114" s="180"/>
    </row>
    <row r="115" spans="1:16" s="185" customFormat="1" ht="15.6">
      <c r="A115" s="182" t="s">
        <v>5</v>
      </c>
      <c r="B115" s="182" t="s">
        <v>1905</v>
      </c>
      <c r="C115" s="182"/>
      <c r="D115" s="183"/>
      <c r="E115" s="184"/>
      <c r="F115" s="184"/>
      <c r="G115" s="184"/>
      <c r="H115" s="184"/>
      <c r="I115" s="184"/>
      <c r="J115" s="184"/>
      <c r="K115" s="184"/>
      <c r="L115" s="184"/>
      <c r="M115" s="184"/>
      <c r="N115" s="184"/>
      <c r="O115" s="184"/>
      <c r="P115" s="184"/>
    </row>
    <row r="116" spans="1:16">
      <c r="A116" s="59" t="s">
        <v>7</v>
      </c>
      <c r="B116" s="59" t="s">
        <v>1873</v>
      </c>
      <c r="C116" s="59"/>
      <c r="D116" s="59"/>
      <c r="E116" s="59"/>
      <c r="F116" s="59"/>
      <c r="G116" s="59"/>
      <c r="H116" s="59"/>
      <c r="I116" s="59"/>
      <c r="J116" s="59"/>
      <c r="K116" s="59"/>
      <c r="L116" s="59"/>
      <c r="M116" s="59"/>
      <c r="N116" s="59"/>
      <c r="O116" s="59"/>
      <c r="P116" s="59"/>
    </row>
    <row r="117" spans="1:16">
      <c r="A117" s="59" t="s">
        <v>9</v>
      </c>
      <c r="B117" s="201" t="s">
        <v>1906</v>
      </c>
      <c r="C117" s="59"/>
      <c r="D117" s="59"/>
      <c r="E117" s="59"/>
      <c r="F117" s="59"/>
      <c r="G117" s="59"/>
      <c r="H117" s="59"/>
      <c r="I117" s="59"/>
      <c r="J117" s="59"/>
      <c r="K117" s="59"/>
      <c r="L117" s="59"/>
      <c r="M117" s="59"/>
      <c r="N117" s="59"/>
      <c r="O117" s="59"/>
      <c r="P117" s="59"/>
    </row>
    <row r="118" spans="1:16">
      <c r="A118" s="59" t="s">
        <v>11</v>
      </c>
      <c r="B118" s="59" t="s">
        <v>232</v>
      </c>
      <c r="C118" s="59"/>
      <c r="D118" s="59"/>
      <c r="E118" s="59"/>
      <c r="F118" s="59"/>
      <c r="G118" s="59"/>
      <c r="H118" s="59"/>
      <c r="I118" s="59"/>
      <c r="J118" s="59"/>
      <c r="K118" s="59"/>
      <c r="L118" s="59"/>
      <c r="M118" s="59"/>
      <c r="N118" s="59"/>
      <c r="O118" s="59"/>
      <c r="P118" s="59"/>
    </row>
    <row r="119" spans="1:16">
      <c r="A119" s="59" t="s">
        <v>13</v>
      </c>
      <c r="B119" s="59" t="s">
        <v>59</v>
      </c>
      <c r="C119" s="59"/>
      <c r="D119" s="59"/>
      <c r="E119" s="59"/>
      <c r="F119" s="59"/>
      <c r="G119" s="59"/>
      <c r="H119" s="59"/>
      <c r="I119" s="59"/>
      <c r="J119" s="59"/>
      <c r="K119" s="59"/>
      <c r="L119" s="59"/>
      <c r="M119" s="59"/>
      <c r="N119" s="59"/>
      <c r="O119" s="59"/>
      <c r="P119" s="59"/>
    </row>
    <row r="120" spans="1:16">
      <c r="A120" s="59" t="s">
        <v>15</v>
      </c>
      <c r="B120" s="59">
        <v>1</v>
      </c>
      <c r="C120" s="59"/>
      <c r="D120" s="59"/>
      <c r="E120" s="59"/>
      <c r="F120" s="59"/>
      <c r="G120" s="59"/>
      <c r="H120" s="59"/>
      <c r="I120" s="59"/>
      <c r="J120" s="59"/>
      <c r="K120" s="59"/>
      <c r="L120" s="59"/>
      <c r="M120" s="59"/>
      <c r="N120" s="59"/>
      <c r="O120" s="59"/>
      <c r="P120" s="59"/>
    </row>
    <row r="121" spans="1:16">
      <c r="A121" s="59" t="s">
        <v>16</v>
      </c>
      <c r="B121" s="59" t="s">
        <v>17</v>
      </c>
      <c r="C121" s="59"/>
      <c r="D121" s="59"/>
      <c r="E121" s="59"/>
      <c r="F121" s="59"/>
      <c r="G121" s="59"/>
      <c r="H121" s="59"/>
      <c r="I121" s="59"/>
      <c r="J121" s="59"/>
      <c r="K121" s="59"/>
      <c r="L121" s="59"/>
      <c r="M121" s="59"/>
      <c r="N121" s="59"/>
      <c r="O121" s="59"/>
      <c r="P121" s="59"/>
    </row>
    <row r="122" spans="1:16" ht="15.6">
      <c r="A122" s="59" t="s">
        <v>18</v>
      </c>
      <c r="B122" s="180" t="s">
        <v>18</v>
      </c>
      <c r="C122" s="59"/>
      <c r="D122" s="59"/>
      <c r="E122" s="59" t="s">
        <v>235</v>
      </c>
      <c r="F122" s="59"/>
      <c r="G122" s="59"/>
      <c r="H122" s="59"/>
      <c r="I122" s="59"/>
      <c r="J122" s="59"/>
      <c r="K122" s="59"/>
      <c r="L122" s="59"/>
      <c r="M122" s="59"/>
      <c r="N122" s="59"/>
      <c r="O122" s="59"/>
      <c r="P122" s="59"/>
    </row>
    <row r="123" spans="1:16" ht="15.6">
      <c r="A123" s="181" t="s">
        <v>19</v>
      </c>
      <c r="B123" s="59"/>
      <c r="C123" s="59"/>
      <c r="D123" s="59"/>
      <c r="E123" s="59"/>
      <c r="F123" s="59"/>
      <c r="G123" s="59"/>
      <c r="H123" s="59"/>
      <c r="I123" s="59"/>
      <c r="J123" s="59"/>
      <c r="K123" s="59"/>
      <c r="L123" s="59"/>
      <c r="M123" s="59"/>
      <c r="N123" s="59"/>
      <c r="O123" s="59"/>
      <c r="P123" s="59"/>
    </row>
    <row r="124" spans="1:16" ht="15.6">
      <c r="A124" s="181" t="s">
        <v>20</v>
      </c>
      <c r="B124" s="181" t="s">
        <v>21</v>
      </c>
      <c r="C124" s="181" t="s">
        <v>217</v>
      </c>
      <c r="D124" s="181" t="s">
        <v>18</v>
      </c>
      <c r="E124" s="181" t="s">
        <v>22</v>
      </c>
      <c r="F124" s="181" t="s">
        <v>7</v>
      </c>
      <c r="G124" s="181" t="s">
        <v>13</v>
      </c>
      <c r="H124" s="181" t="s">
        <v>16</v>
      </c>
      <c r="I124" s="181" t="s">
        <v>23</v>
      </c>
      <c r="J124" s="181" t="s">
        <v>24</v>
      </c>
      <c r="K124" s="181" t="s">
        <v>25</v>
      </c>
      <c r="L124" s="181" t="s">
        <v>26</v>
      </c>
      <c r="M124" s="181" t="s">
        <v>27</v>
      </c>
      <c r="N124" s="181" t="s">
        <v>28</v>
      </c>
      <c r="O124" s="181" t="s">
        <v>11</v>
      </c>
      <c r="P124" s="181" t="s">
        <v>702</v>
      </c>
    </row>
    <row r="125" spans="1:16" ht="15.6">
      <c r="A125" s="180" t="str">
        <f>B115</f>
        <v>treatment of powerplant, PEMFC-bat, Long-Term</v>
      </c>
      <c r="B125" s="181">
        <v>1</v>
      </c>
      <c r="C125" s="180"/>
      <c r="D125" s="180" t="s">
        <v>18</v>
      </c>
      <c r="E125" s="59" t="s">
        <v>2</v>
      </c>
      <c r="F125" s="59" t="s">
        <v>1873</v>
      </c>
      <c r="G125" s="180" t="s">
        <v>59</v>
      </c>
      <c r="H125" s="59" t="s">
        <v>30</v>
      </c>
      <c r="I125" s="59">
        <v>0</v>
      </c>
      <c r="J125" s="180" t="s">
        <v>31</v>
      </c>
      <c r="K125" s="180" t="s">
        <v>31</v>
      </c>
      <c r="L125" s="180" t="s">
        <v>31</v>
      </c>
      <c r="M125" s="180" t="s">
        <v>31</v>
      </c>
      <c r="N125" s="180" t="s">
        <v>31</v>
      </c>
      <c r="O125" s="181"/>
      <c r="P125" s="181"/>
    </row>
    <row r="126" spans="1:16" ht="15.6">
      <c r="A126" t="str">
        <f>B32</f>
        <v>treatment of aluminium,powerplant, PEMFC-bat, Long-Term</v>
      </c>
      <c r="B126">
        <v>77.56</v>
      </c>
      <c r="D126" t="s">
        <v>37</v>
      </c>
      <c r="E126" s="59" t="s">
        <v>2</v>
      </c>
      <c r="F126" s="59" t="s">
        <v>1873</v>
      </c>
      <c r="G126" s="180" t="s">
        <v>59</v>
      </c>
      <c r="H126" t="s">
        <v>33</v>
      </c>
      <c r="I126" s="59">
        <v>0</v>
      </c>
      <c r="J126" s="180" t="s">
        <v>31</v>
      </c>
      <c r="K126" s="180" t="s">
        <v>31</v>
      </c>
      <c r="L126" s="180" t="s">
        <v>31</v>
      </c>
      <c r="M126" s="180" t="s">
        <v>31</v>
      </c>
      <c r="N126" s="180" t="s">
        <v>31</v>
      </c>
    </row>
    <row r="127" spans="1:16" ht="15.6">
      <c r="A127" t="str">
        <f>'airframe EoL LCI'!B32</f>
        <v>treatment of steel, wing, airframe, PEMFC-bat, Long-Term</v>
      </c>
      <c r="B127">
        <v>64.742990000000006</v>
      </c>
      <c r="D127" t="s">
        <v>37</v>
      </c>
      <c r="E127" s="59" t="s">
        <v>2</v>
      </c>
      <c r="F127" s="59" t="s">
        <v>1873</v>
      </c>
      <c r="G127" s="180" t="s">
        <v>59</v>
      </c>
      <c r="H127" t="s">
        <v>33</v>
      </c>
      <c r="I127" s="59">
        <v>0</v>
      </c>
      <c r="J127" s="180" t="s">
        <v>31</v>
      </c>
      <c r="K127" s="180" t="s">
        <v>31</v>
      </c>
      <c r="L127" s="180" t="s">
        <v>31</v>
      </c>
      <c r="M127" s="180" t="s">
        <v>31</v>
      </c>
      <c r="N127" s="180" t="s">
        <v>31</v>
      </c>
    </row>
    <row r="128" spans="1:16" ht="15.6">
      <c r="A128" t="str">
        <f>B17</f>
        <v>treatment of CFRP,powerplant, PEMFC-bat, Long-Term</v>
      </c>
      <c r="B128">
        <v>37.395000000000003</v>
      </c>
      <c r="D128" t="s">
        <v>37</v>
      </c>
      <c r="E128" s="59" t="s">
        <v>2</v>
      </c>
      <c r="F128" s="59" t="s">
        <v>1873</v>
      </c>
      <c r="G128" s="180" t="s">
        <v>59</v>
      </c>
      <c r="H128" t="s">
        <v>33</v>
      </c>
      <c r="I128" s="59">
        <v>0</v>
      </c>
      <c r="J128" s="180" t="s">
        <v>31</v>
      </c>
      <c r="K128" s="180" t="s">
        <v>31</v>
      </c>
      <c r="L128" s="180" t="s">
        <v>31</v>
      </c>
      <c r="M128" s="180" t="s">
        <v>31</v>
      </c>
      <c r="N128" s="180" t="s">
        <v>31</v>
      </c>
    </row>
  </sheetData>
  <pageMargins left="0.7" right="0.7" top="0.75" bottom="0.75" header="0.3" footer="0.3"/>
  <pageSetup paperSize="9" orientation="portrai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BBEE3-0246-4120-9808-C6EEBA8217ED}">
  <sheetPr>
    <tabColor theme="9"/>
  </sheetPr>
  <dimension ref="A1:V249"/>
  <sheetViews>
    <sheetView topLeftCell="A233" zoomScaleNormal="100" workbookViewId="0">
      <selection activeCell="B5" sqref="B5"/>
    </sheetView>
  </sheetViews>
  <sheetFormatPr defaultRowHeight="14.45"/>
  <cols>
    <col min="1" max="1" width="79.5703125" bestFit="1" customWidth="1"/>
    <col min="2" max="2" width="9.28515625" bestFit="1" customWidth="1"/>
    <col min="5" max="5" width="32.7109375" bestFit="1" customWidth="1"/>
    <col min="6" max="6" width="30.5703125" bestFit="1" customWidth="1"/>
  </cols>
  <sheetData>
    <row r="1" spans="1:16" ht="17.25" customHeight="1">
      <c r="A1" t="s">
        <v>0</v>
      </c>
      <c r="B1">
        <v>14</v>
      </c>
    </row>
    <row r="2" spans="1:16" s="70" customFormat="1" ht="15.6">
      <c r="A2" s="178" t="s">
        <v>5</v>
      </c>
      <c r="B2" s="178" t="s">
        <v>1907</v>
      </c>
      <c r="C2" s="178"/>
      <c r="D2" s="69"/>
      <c r="E2" s="144"/>
      <c r="F2" s="144"/>
      <c r="G2" s="144"/>
      <c r="H2" s="144"/>
      <c r="I2" s="144"/>
      <c r="J2" s="144"/>
      <c r="K2" s="144"/>
      <c r="L2" s="144"/>
      <c r="M2" s="144"/>
      <c r="N2" s="144"/>
      <c r="O2" s="144"/>
      <c r="P2" s="144"/>
    </row>
    <row r="3" spans="1:16">
      <c r="A3" s="59" t="s">
        <v>7</v>
      </c>
      <c r="B3" s="59" t="s">
        <v>1873</v>
      </c>
      <c r="C3" s="59"/>
      <c r="D3" s="59"/>
      <c r="E3" s="59"/>
      <c r="F3" s="59"/>
      <c r="G3" s="59"/>
      <c r="H3" s="59"/>
      <c r="I3" s="59"/>
      <c r="J3" s="59"/>
      <c r="K3" s="59"/>
      <c r="L3" s="59"/>
      <c r="M3" s="59"/>
      <c r="N3" s="59"/>
      <c r="O3" s="59"/>
      <c r="P3" s="59"/>
    </row>
    <row r="4" spans="1:16">
      <c r="A4" s="59" t="s">
        <v>9</v>
      </c>
      <c r="B4" s="59" t="s">
        <v>1908</v>
      </c>
      <c r="C4" s="59"/>
      <c r="D4" s="59"/>
      <c r="E4" s="59"/>
      <c r="F4" s="59"/>
      <c r="G4" s="59"/>
      <c r="H4" s="59"/>
      <c r="I4" s="59"/>
      <c r="J4" s="59"/>
      <c r="K4" s="59"/>
      <c r="L4" s="59"/>
      <c r="M4" s="59"/>
      <c r="N4" s="59"/>
      <c r="O4" s="59"/>
      <c r="P4" s="59"/>
    </row>
    <row r="5" spans="1:16">
      <c r="A5" s="59" t="s">
        <v>11</v>
      </c>
      <c r="B5" s="59" t="s">
        <v>1909</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ht="15.6">
      <c r="A9" s="59" t="s">
        <v>18</v>
      </c>
      <c r="B9" s="180" t="s">
        <v>37</v>
      </c>
      <c r="C9" s="59"/>
      <c r="D9" s="59"/>
      <c r="E9" s="59" t="s">
        <v>235</v>
      </c>
      <c r="F9" s="59"/>
      <c r="G9" s="59"/>
      <c r="H9" s="59"/>
      <c r="I9" s="59"/>
      <c r="J9" s="59"/>
      <c r="K9" s="59"/>
      <c r="L9" s="59"/>
      <c r="M9" s="59"/>
      <c r="N9" s="59"/>
      <c r="O9" s="59"/>
      <c r="P9" s="59"/>
    </row>
    <row r="10" spans="1:16" ht="15.6">
      <c r="A10" s="181" t="s">
        <v>19</v>
      </c>
      <c r="B10" s="59"/>
      <c r="C10" s="59"/>
      <c r="D10" s="59"/>
      <c r="E10" s="59"/>
      <c r="F10" s="59"/>
      <c r="G10" s="59"/>
      <c r="H10" s="59"/>
      <c r="I10" s="59"/>
      <c r="J10" s="59"/>
      <c r="K10" s="59"/>
      <c r="L10" s="59"/>
      <c r="M10" s="59"/>
      <c r="N10" s="59"/>
      <c r="O10" s="59"/>
      <c r="P10" s="59"/>
    </row>
    <row r="11" spans="1:16"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6">
      <c r="A12" s="180" t="str">
        <f>B2</f>
        <v>treatment of aluminium, wing, airframe, PEMFC-bat, Long-Term</v>
      </c>
      <c r="B12" s="180">
        <v>1</v>
      </c>
      <c r="C12" s="180"/>
      <c r="D12" s="180" t="s">
        <v>37</v>
      </c>
      <c r="E12" s="59" t="s">
        <v>2</v>
      </c>
      <c r="F12" s="59" t="s">
        <v>1910</v>
      </c>
      <c r="G12" s="180" t="s">
        <v>59</v>
      </c>
      <c r="H12" s="59" t="s">
        <v>30</v>
      </c>
      <c r="I12" s="59">
        <v>0</v>
      </c>
      <c r="J12" s="180" t="s">
        <v>31</v>
      </c>
      <c r="K12" s="180" t="s">
        <v>31</v>
      </c>
      <c r="L12" s="180" t="s">
        <v>31</v>
      </c>
      <c r="M12" s="180" t="s">
        <v>31</v>
      </c>
      <c r="N12" s="180" t="s">
        <v>31</v>
      </c>
      <c r="O12" s="180" t="s">
        <v>1911</v>
      </c>
      <c r="P12" s="59"/>
    </row>
    <row r="13" spans="1:16" ht="15.6">
      <c r="A13" t="s">
        <v>263</v>
      </c>
      <c r="B13" s="23">
        <v>0.7</v>
      </c>
      <c r="C13" s="180"/>
      <c r="D13" s="180" t="s">
        <v>37</v>
      </c>
      <c r="E13" s="37" t="s">
        <v>40</v>
      </c>
      <c r="F13" s="59" t="s">
        <v>1910</v>
      </c>
      <c r="G13" s="180" t="s">
        <v>82</v>
      </c>
      <c r="H13" s="59" t="s">
        <v>33</v>
      </c>
      <c r="I13" s="59">
        <v>0</v>
      </c>
      <c r="J13" s="180" t="s">
        <v>31</v>
      </c>
      <c r="K13" s="180" t="s">
        <v>31</v>
      </c>
      <c r="L13" s="180" t="s">
        <v>31</v>
      </c>
      <c r="M13" s="180" t="s">
        <v>31</v>
      </c>
      <c r="N13" s="180" t="s">
        <v>31</v>
      </c>
      <c r="O13" s="59"/>
      <c r="P13" s="59"/>
    </row>
    <row r="14" spans="1:16" ht="15.6">
      <c r="A14" t="s">
        <v>265</v>
      </c>
      <c r="B14" s="23">
        <v>0.7</v>
      </c>
      <c r="C14" s="22" t="s">
        <v>266</v>
      </c>
      <c r="D14" t="s">
        <v>37</v>
      </c>
      <c r="E14" s="188" t="s">
        <v>40</v>
      </c>
      <c r="F14" s="59" t="s">
        <v>1910</v>
      </c>
      <c r="G14" t="s">
        <v>82</v>
      </c>
      <c r="H14" s="59" t="s">
        <v>33</v>
      </c>
      <c r="I14" s="59">
        <v>0</v>
      </c>
      <c r="J14" s="180" t="s">
        <v>31</v>
      </c>
      <c r="K14" s="180" t="s">
        <v>31</v>
      </c>
      <c r="L14" s="180" t="s">
        <v>31</v>
      </c>
      <c r="M14" s="180" t="s">
        <v>31</v>
      </c>
      <c r="N14" s="180" t="s">
        <v>31</v>
      </c>
      <c r="O14" s="180" t="s">
        <v>1367</v>
      </c>
    </row>
    <row r="15" spans="1:16" ht="15.6">
      <c r="A15" t="s">
        <v>347</v>
      </c>
      <c r="B15" s="23">
        <f>0.7*0.9</f>
        <v>0.63</v>
      </c>
      <c r="D15" t="s">
        <v>37</v>
      </c>
      <c r="E15" s="188" t="s">
        <v>40</v>
      </c>
      <c r="F15" s="59" t="s">
        <v>1910</v>
      </c>
      <c r="G15" t="s">
        <v>59</v>
      </c>
      <c r="H15" s="59" t="s">
        <v>136</v>
      </c>
      <c r="I15" s="59">
        <v>0</v>
      </c>
      <c r="J15" s="180" t="s">
        <v>31</v>
      </c>
      <c r="K15" s="180" t="s">
        <v>31</v>
      </c>
      <c r="L15" s="180" t="s">
        <v>31</v>
      </c>
      <c r="M15" s="180" t="s">
        <v>31</v>
      </c>
      <c r="N15" s="180" t="s">
        <v>31</v>
      </c>
      <c r="O15" s="59"/>
      <c r="P15" s="180" t="s">
        <v>1368</v>
      </c>
    </row>
    <row r="16" spans="1:16" ht="15.6">
      <c r="A16" t="s">
        <v>403</v>
      </c>
      <c r="B16" s="23">
        <f>-(1-B15)</f>
        <v>-0.37</v>
      </c>
      <c r="D16" t="s">
        <v>37</v>
      </c>
      <c r="E16" s="88" t="s">
        <v>40</v>
      </c>
      <c r="F16" s="59" t="s">
        <v>1910</v>
      </c>
      <c r="G16" t="s">
        <v>59</v>
      </c>
      <c r="H16" t="s">
        <v>33</v>
      </c>
      <c r="I16">
        <v>0</v>
      </c>
      <c r="J16" t="s">
        <v>31</v>
      </c>
      <c r="K16" t="s">
        <v>31</v>
      </c>
      <c r="L16" t="s">
        <v>31</v>
      </c>
      <c r="M16" t="s">
        <v>31</v>
      </c>
      <c r="N16" t="s">
        <v>31</v>
      </c>
      <c r="O16" s="17"/>
      <c r="P16" s="59"/>
    </row>
    <row r="17" spans="1:16" s="70" customFormat="1" ht="15.6">
      <c r="A17" s="178" t="s">
        <v>5</v>
      </c>
      <c r="B17" s="178" t="s">
        <v>1912</v>
      </c>
      <c r="C17" s="178"/>
      <c r="D17" s="69"/>
      <c r="E17" s="144"/>
      <c r="F17" s="144"/>
      <c r="G17" s="144"/>
      <c r="H17" s="144"/>
      <c r="I17" s="144"/>
      <c r="J17" s="144"/>
      <c r="K17" s="144"/>
      <c r="L17" s="144"/>
      <c r="M17" s="144"/>
      <c r="N17" s="144"/>
      <c r="O17" s="144"/>
      <c r="P17" s="144"/>
    </row>
    <row r="18" spans="1:16">
      <c r="A18" s="59" t="s">
        <v>7</v>
      </c>
      <c r="B18" s="59" t="s">
        <v>1873</v>
      </c>
      <c r="C18" s="59"/>
      <c r="D18" s="59"/>
      <c r="E18" s="59"/>
      <c r="F18" s="59"/>
      <c r="G18" s="59"/>
      <c r="H18" s="59"/>
      <c r="I18" s="59"/>
      <c r="J18" s="59"/>
      <c r="K18" s="59"/>
      <c r="L18" s="59"/>
      <c r="M18" s="59"/>
      <c r="N18" s="59"/>
      <c r="O18" s="59"/>
      <c r="P18" s="59"/>
    </row>
    <row r="19" spans="1:16">
      <c r="A19" s="59" t="s">
        <v>9</v>
      </c>
      <c r="B19" s="59" t="s">
        <v>1913</v>
      </c>
      <c r="C19" s="59"/>
      <c r="D19" s="59"/>
      <c r="E19" s="59"/>
      <c r="F19" s="59"/>
      <c r="G19" s="59"/>
      <c r="H19" s="59"/>
      <c r="I19" s="59"/>
      <c r="J19" s="59"/>
      <c r="K19" s="59"/>
      <c r="L19" s="59"/>
      <c r="M19" s="59"/>
      <c r="N19" s="59"/>
      <c r="O19" s="59"/>
      <c r="P19" s="59"/>
    </row>
    <row r="20" spans="1:16">
      <c r="A20" s="59" t="s">
        <v>11</v>
      </c>
      <c r="B20" s="59" t="s">
        <v>1909</v>
      </c>
      <c r="C20" s="59"/>
      <c r="D20" s="59"/>
      <c r="E20" s="59"/>
      <c r="F20" s="59"/>
      <c r="G20" s="59"/>
      <c r="H20" s="59"/>
      <c r="I20" s="59"/>
      <c r="J20" s="59"/>
      <c r="K20" s="59"/>
      <c r="L20" s="59"/>
      <c r="M20" s="59"/>
      <c r="N20" s="59"/>
      <c r="O20" s="59"/>
      <c r="P20" s="59"/>
    </row>
    <row r="21" spans="1:16">
      <c r="A21" s="59" t="s">
        <v>13</v>
      </c>
      <c r="B21" s="59" t="s">
        <v>59</v>
      </c>
      <c r="C21" s="59"/>
      <c r="D21" s="59"/>
      <c r="E21" s="59"/>
      <c r="F21" s="59"/>
      <c r="G21" s="59"/>
      <c r="H21" s="59"/>
      <c r="I21" s="59"/>
      <c r="J21" s="59"/>
      <c r="K21" s="59"/>
      <c r="L21" s="59"/>
      <c r="M21" s="59"/>
      <c r="N21" s="59"/>
      <c r="O21" s="59"/>
      <c r="P21" s="59"/>
    </row>
    <row r="22" spans="1:16">
      <c r="A22" s="59" t="s">
        <v>15</v>
      </c>
      <c r="B22" s="59">
        <v>1</v>
      </c>
      <c r="C22" s="59"/>
      <c r="D22" s="59"/>
      <c r="E22" s="59"/>
      <c r="F22" s="59"/>
      <c r="G22" s="59"/>
      <c r="H22" s="59"/>
      <c r="I22" s="59"/>
      <c r="J22" s="59"/>
      <c r="K22" s="59"/>
      <c r="L22" s="59"/>
      <c r="M22" s="59"/>
      <c r="N22" s="59"/>
      <c r="O22" s="59"/>
      <c r="P22" s="59"/>
    </row>
    <row r="23" spans="1:16">
      <c r="A23" s="59" t="s">
        <v>16</v>
      </c>
      <c r="B23" s="59" t="s">
        <v>17</v>
      </c>
      <c r="C23" s="59"/>
      <c r="D23" s="59"/>
      <c r="E23" s="59"/>
      <c r="F23" s="59"/>
      <c r="G23" s="59"/>
      <c r="H23" s="59"/>
      <c r="I23" s="59"/>
      <c r="J23" s="59"/>
      <c r="K23" s="59"/>
      <c r="L23" s="59"/>
      <c r="M23" s="59"/>
      <c r="N23" s="59"/>
      <c r="O23" s="59"/>
      <c r="P23" s="59"/>
    </row>
    <row r="24" spans="1:16" ht="15.6">
      <c r="A24" s="59" t="s">
        <v>18</v>
      </c>
      <c r="B24" s="180" t="s">
        <v>37</v>
      </c>
      <c r="C24" s="59"/>
      <c r="D24" s="59"/>
      <c r="E24" s="59" t="s">
        <v>235</v>
      </c>
      <c r="F24" s="59"/>
      <c r="G24" s="59"/>
      <c r="H24" s="59"/>
      <c r="I24" s="59"/>
      <c r="J24" s="59"/>
      <c r="K24" s="59"/>
      <c r="L24" s="59"/>
      <c r="M24" s="59"/>
      <c r="N24" s="59"/>
      <c r="O24" s="59"/>
      <c r="P24" s="59"/>
    </row>
    <row r="25" spans="1:16" ht="15.6">
      <c r="A25" s="181" t="s">
        <v>19</v>
      </c>
      <c r="B25" s="59"/>
      <c r="C25" s="59"/>
      <c r="D25" s="59"/>
      <c r="E25" s="59"/>
      <c r="F25" s="59"/>
      <c r="G25" s="59"/>
      <c r="H25" s="59"/>
      <c r="I25" s="59"/>
      <c r="J25" s="59"/>
      <c r="K25" s="59"/>
      <c r="L25" s="59"/>
      <c r="M25" s="59"/>
      <c r="N25" s="59"/>
      <c r="O25" s="59"/>
      <c r="P25" s="59"/>
    </row>
    <row r="26" spans="1:16" ht="15.6">
      <c r="A26" s="181" t="s">
        <v>20</v>
      </c>
      <c r="B26" s="181" t="s">
        <v>21</v>
      </c>
      <c r="C26" s="181" t="s">
        <v>217</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702</v>
      </c>
    </row>
    <row r="27" spans="1:16" ht="15.6">
      <c r="A27" s="180" t="str">
        <f>B17</f>
        <v>treatment of biofiber, wing, airframe, PEMFC-bat, Long-Term</v>
      </c>
      <c r="B27" s="180">
        <v>1</v>
      </c>
      <c r="C27" s="180"/>
      <c r="D27" s="180" t="s">
        <v>37</v>
      </c>
      <c r="E27" s="59" t="s">
        <v>2</v>
      </c>
      <c r="F27" s="59" t="s">
        <v>1910</v>
      </c>
      <c r="G27" s="180" t="s">
        <v>59</v>
      </c>
      <c r="H27" s="59" t="s">
        <v>30</v>
      </c>
      <c r="I27" s="59">
        <v>0</v>
      </c>
      <c r="J27" s="180" t="s">
        <v>31</v>
      </c>
      <c r="K27" s="180" t="s">
        <v>31</v>
      </c>
      <c r="L27" s="180" t="s">
        <v>31</v>
      </c>
      <c r="M27" s="180" t="s">
        <v>31</v>
      </c>
      <c r="N27" s="180" t="s">
        <v>31</v>
      </c>
      <c r="O27" s="180" t="s">
        <v>1914</v>
      </c>
      <c r="P27" s="59"/>
    </row>
    <row r="28" spans="1:16" ht="15.6">
      <c r="A28" s="88" t="s">
        <v>572</v>
      </c>
      <c r="B28">
        <v>-0.5</v>
      </c>
      <c r="D28" t="s">
        <v>37</v>
      </c>
      <c r="E28" s="188" t="s">
        <v>40</v>
      </c>
      <c r="F28" s="59" t="s">
        <v>1910</v>
      </c>
      <c r="G28" t="s">
        <v>82</v>
      </c>
      <c r="H28" t="s">
        <v>33</v>
      </c>
      <c r="I28" s="59">
        <v>0</v>
      </c>
      <c r="J28" s="180" t="s">
        <v>31</v>
      </c>
      <c r="K28" s="180" t="s">
        <v>31</v>
      </c>
      <c r="L28" s="180" t="s">
        <v>31</v>
      </c>
      <c r="M28" s="180" t="s">
        <v>31</v>
      </c>
      <c r="N28" s="180" t="s">
        <v>31</v>
      </c>
      <c r="O28" s="180" t="s">
        <v>1573</v>
      </c>
      <c r="P28" s="180" t="s">
        <v>1882</v>
      </c>
    </row>
    <row r="29" spans="1:16" ht="15.6">
      <c r="A29" t="s">
        <v>38</v>
      </c>
      <c r="B29">
        <f>B30*0.277777777</f>
        <v>2.415277771015</v>
      </c>
      <c r="D29" t="s">
        <v>39</v>
      </c>
      <c r="E29" s="188" t="s">
        <v>40</v>
      </c>
      <c r="F29" s="59" t="s">
        <v>1910</v>
      </c>
      <c r="G29" t="s">
        <v>59</v>
      </c>
      <c r="H29" s="59" t="s">
        <v>136</v>
      </c>
      <c r="I29" s="59">
        <v>0</v>
      </c>
      <c r="J29" s="180" t="s">
        <v>31</v>
      </c>
      <c r="K29" s="180" t="s">
        <v>31</v>
      </c>
      <c r="L29" s="180" t="s">
        <v>31</v>
      </c>
      <c r="M29" s="180" t="s">
        <v>31</v>
      </c>
      <c r="N29" s="180" t="s">
        <v>31</v>
      </c>
      <c r="O29" t="s">
        <v>1883</v>
      </c>
    </row>
    <row r="30" spans="1:16" ht="15.6">
      <c r="A30" t="s">
        <v>70</v>
      </c>
      <c r="B30">
        <f>-B28*0.5*34.78</f>
        <v>8.6950000000000003</v>
      </c>
      <c r="D30" t="s">
        <v>71</v>
      </c>
      <c r="E30" s="188" t="s">
        <v>40</v>
      </c>
      <c r="F30" s="59" t="s">
        <v>1910</v>
      </c>
      <c r="G30" t="s">
        <v>59</v>
      </c>
      <c r="H30" s="59" t="s">
        <v>136</v>
      </c>
      <c r="I30" s="59">
        <v>0</v>
      </c>
      <c r="J30" s="180" t="s">
        <v>31</v>
      </c>
      <c r="K30" s="180" t="s">
        <v>31</v>
      </c>
      <c r="L30" s="180" t="s">
        <v>31</v>
      </c>
      <c r="M30" s="180" t="s">
        <v>31</v>
      </c>
      <c r="N30" s="180" t="s">
        <v>31</v>
      </c>
      <c r="O30" t="s">
        <v>1915</v>
      </c>
    </row>
    <row r="31" spans="1:16" ht="15.6">
      <c r="A31" s="88" t="s">
        <v>1885</v>
      </c>
      <c r="B31">
        <v>-0.5</v>
      </c>
      <c r="D31" t="s">
        <v>37</v>
      </c>
      <c r="E31" s="188" t="s">
        <v>40</v>
      </c>
      <c r="F31" s="59" t="s">
        <v>1910</v>
      </c>
      <c r="G31" t="s">
        <v>82</v>
      </c>
      <c r="H31" s="59" t="s">
        <v>33</v>
      </c>
      <c r="I31" s="59">
        <v>0</v>
      </c>
      <c r="J31" s="180" t="s">
        <v>31</v>
      </c>
      <c r="K31" s="180" t="s">
        <v>31</v>
      </c>
      <c r="L31" s="180" t="s">
        <v>31</v>
      </c>
      <c r="M31" s="180" t="s">
        <v>31</v>
      </c>
      <c r="N31" s="180" t="s">
        <v>31</v>
      </c>
      <c r="O31" s="180" t="s">
        <v>1886</v>
      </c>
    </row>
    <row r="32" spans="1:16" s="70" customFormat="1" ht="15.6">
      <c r="A32" s="178" t="s">
        <v>5</v>
      </c>
      <c r="B32" s="178" t="s">
        <v>1916</v>
      </c>
      <c r="C32" s="178"/>
      <c r="D32" s="69"/>
      <c r="E32" s="144"/>
      <c r="F32" s="144"/>
      <c r="G32" s="144"/>
      <c r="H32" s="144"/>
      <c r="I32" s="144"/>
      <c r="J32" s="144"/>
      <c r="K32" s="144"/>
      <c r="L32" s="144"/>
      <c r="M32" s="144"/>
      <c r="N32" s="144"/>
      <c r="O32" s="144"/>
      <c r="P32" s="144"/>
    </row>
    <row r="33" spans="1:16">
      <c r="A33" s="59" t="s">
        <v>7</v>
      </c>
      <c r="B33" s="59" t="s">
        <v>1873</v>
      </c>
      <c r="C33" s="59"/>
      <c r="D33" s="59"/>
      <c r="E33" s="59"/>
      <c r="F33" s="59"/>
      <c r="G33" s="59"/>
      <c r="H33" s="59"/>
      <c r="I33" s="59"/>
      <c r="J33" s="59"/>
      <c r="K33" s="59"/>
      <c r="L33" s="59"/>
      <c r="M33" s="59"/>
      <c r="N33" s="59"/>
      <c r="O33" s="59"/>
      <c r="P33" s="59"/>
    </row>
    <row r="34" spans="1:16">
      <c r="A34" s="59" t="s">
        <v>9</v>
      </c>
      <c r="B34" s="59" t="s">
        <v>1917</v>
      </c>
      <c r="C34" s="59"/>
      <c r="D34" s="59"/>
      <c r="E34" s="59"/>
      <c r="F34" s="59"/>
      <c r="G34" s="59"/>
      <c r="H34" s="59"/>
      <c r="I34" s="59"/>
      <c r="J34" s="59"/>
      <c r="K34" s="59"/>
      <c r="L34" s="59"/>
      <c r="M34" s="59"/>
      <c r="N34" s="59"/>
      <c r="O34" s="59"/>
      <c r="P34" s="59"/>
    </row>
    <row r="35" spans="1:16">
      <c r="A35" s="59" t="s">
        <v>11</v>
      </c>
      <c r="B35" s="59" t="s">
        <v>1909</v>
      </c>
      <c r="C35" s="59"/>
      <c r="D35" s="59"/>
      <c r="E35" s="59"/>
      <c r="F35" s="59"/>
      <c r="G35" s="59"/>
      <c r="H35" s="59"/>
      <c r="I35" s="59"/>
      <c r="J35" s="59"/>
      <c r="K35" s="59"/>
      <c r="L35" s="59"/>
      <c r="M35" s="59"/>
      <c r="N35" s="59"/>
      <c r="O35" s="59"/>
      <c r="P35" s="59"/>
    </row>
    <row r="36" spans="1:16">
      <c r="A36" s="59" t="s">
        <v>13</v>
      </c>
      <c r="B36" s="59" t="s">
        <v>59</v>
      </c>
      <c r="C36" s="59"/>
      <c r="D36" s="59"/>
      <c r="E36" s="59"/>
      <c r="F36" s="59"/>
      <c r="G36" s="59"/>
      <c r="H36" s="59"/>
      <c r="I36" s="59"/>
      <c r="J36" s="59"/>
      <c r="K36" s="59"/>
      <c r="L36" s="59"/>
      <c r="M36" s="59"/>
      <c r="N36" s="59"/>
      <c r="O36" s="59"/>
      <c r="P36" s="59"/>
    </row>
    <row r="37" spans="1:16">
      <c r="A37" s="59" t="s">
        <v>15</v>
      </c>
      <c r="B37" s="59">
        <v>1</v>
      </c>
      <c r="C37" s="59"/>
      <c r="D37" s="59"/>
      <c r="E37" s="59"/>
      <c r="F37" s="59"/>
      <c r="G37" s="59"/>
      <c r="H37" s="59"/>
      <c r="I37" s="59"/>
      <c r="J37" s="59"/>
      <c r="K37" s="59"/>
      <c r="L37" s="59"/>
      <c r="M37" s="59"/>
      <c r="N37" s="59"/>
      <c r="O37" s="59"/>
      <c r="P37" s="59"/>
    </row>
    <row r="38" spans="1:16">
      <c r="A38" s="59" t="s">
        <v>16</v>
      </c>
      <c r="B38" s="59" t="s">
        <v>17</v>
      </c>
      <c r="C38" s="59"/>
      <c r="D38" s="59"/>
      <c r="E38" s="59"/>
      <c r="F38" s="59"/>
      <c r="G38" s="59"/>
      <c r="H38" s="59"/>
      <c r="I38" s="59"/>
      <c r="J38" s="59"/>
      <c r="K38" s="59"/>
      <c r="L38" s="59"/>
      <c r="M38" s="59"/>
      <c r="N38" s="59"/>
      <c r="O38" s="59"/>
      <c r="P38" s="59"/>
    </row>
    <row r="39" spans="1:16" ht="15.6">
      <c r="A39" s="59" t="s">
        <v>18</v>
      </c>
      <c r="B39" s="180" t="s">
        <v>37</v>
      </c>
      <c r="C39" s="59"/>
      <c r="D39" s="59"/>
      <c r="E39" s="59" t="s">
        <v>235</v>
      </c>
      <c r="F39" s="59"/>
      <c r="G39" s="59"/>
      <c r="H39" s="59"/>
      <c r="I39" s="59"/>
      <c r="J39" s="59"/>
      <c r="K39" s="59"/>
      <c r="L39" s="59"/>
      <c r="M39" s="59"/>
      <c r="N39" s="59"/>
      <c r="O39" s="59"/>
      <c r="P39" s="59"/>
    </row>
    <row r="40" spans="1:16" ht="15.6">
      <c r="A40" s="181" t="s">
        <v>19</v>
      </c>
      <c r="B40" s="59"/>
      <c r="C40" s="59"/>
      <c r="D40" s="59"/>
      <c r="E40" s="59"/>
      <c r="F40" s="59"/>
      <c r="G40" s="59"/>
      <c r="H40" s="59"/>
      <c r="I40" s="59"/>
      <c r="J40" s="59"/>
      <c r="K40" s="59"/>
      <c r="L40" s="59"/>
      <c r="M40" s="59"/>
      <c r="N40" s="59"/>
      <c r="O40" s="59"/>
      <c r="P40" s="59"/>
    </row>
    <row r="41" spans="1:16" ht="15.6">
      <c r="A41" s="181" t="s">
        <v>20</v>
      </c>
      <c r="B41" s="181" t="s">
        <v>21</v>
      </c>
      <c r="C41" s="181" t="s">
        <v>217</v>
      </c>
      <c r="D41" s="181" t="s">
        <v>18</v>
      </c>
      <c r="E41" s="181" t="s">
        <v>22</v>
      </c>
      <c r="F41" s="181" t="s">
        <v>7</v>
      </c>
      <c r="G41" s="181" t="s">
        <v>13</v>
      </c>
      <c r="H41" s="181" t="s">
        <v>16</v>
      </c>
      <c r="I41" s="181" t="s">
        <v>23</v>
      </c>
      <c r="J41" s="181" t="s">
        <v>24</v>
      </c>
      <c r="K41" s="181" t="s">
        <v>25</v>
      </c>
      <c r="L41" s="181" t="s">
        <v>26</v>
      </c>
      <c r="M41" s="181" t="s">
        <v>27</v>
      </c>
      <c r="N41" s="181" t="s">
        <v>28</v>
      </c>
      <c r="O41" s="181" t="s">
        <v>11</v>
      </c>
      <c r="P41" s="181" t="s">
        <v>702</v>
      </c>
    </row>
    <row r="42" spans="1:16" ht="15.6">
      <c r="A42" s="180" t="str">
        <f>B32</f>
        <v>treatment of steel, wing, airframe, PEMFC-bat, Long-Term</v>
      </c>
      <c r="B42" s="180">
        <v>1</v>
      </c>
      <c r="C42" s="180"/>
      <c r="D42" s="180" t="s">
        <v>37</v>
      </c>
      <c r="E42" s="59" t="s">
        <v>2</v>
      </c>
      <c r="F42" s="59" t="s">
        <v>1910</v>
      </c>
      <c r="G42" s="180" t="s">
        <v>59</v>
      </c>
      <c r="H42" s="59" t="s">
        <v>30</v>
      </c>
      <c r="I42" s="59">
        <v>0</v>
      </c>
      <c r="J42" s="180" t="s">
        <v>31</v>
      </c>
      <c r="K42" s="180" t="s">
        <v>31</v>
      </c>
      <c r="L42" s="180" t="s">
        <v>31</v>
      </c>
      <c r="M42" s="180" t="s">
        <v>31</v>
      </c>
      <c r="N42" s="180" t="s">
        <v>31</v>
      </c>
      <c r="O42" s="180" t="s">
        <v>1918</v>
      </c>
      <c r="P42" s="59"/>
    </row>
    <row r="43" spans="1:16" ht="15.6">
      <c r="A43" t="s">
        <v>135</v>
      </c>
      <c r="B43" s="23">
        <v>0.75</v>
      </c>
      <c r="C43" s="180"/>
      <c r="D43" s="180" t="s">
        <v>37</v>
      </c>
      <c r="E43" s="88" t="s">
        <v>40</v>
      </c>
      <c r="F43" s="59" t="s">
        <v>1910</v>
      </c>
      <c r="G43" s="180" t="s">
        <v>82</v>
      </c>
      <c r="H43" s="59" t="s">
        <v>33</v>
      </c>
      <c r="I43" s="59">
        <v>0</v>
      </c>
      <c r="J43" s="180" t="s">
        <v>31</v>
      </c>
      <c r="K43" s="180" t="s">
        <v>31</v>
      </c>
      <c r="L43" s="180" t="s">
        <v>31</v>
      </c>
      <c r="M43" s="180" t="s">
        <v>31</v>
      </c>
      <c r="N43" s="180" t="s">
        <v>31</v>
      </c>
      <c r="O43" s="59"/>
      <c r="P43" s="59"/>
    </row>
    <row r="44" spans="1:16" ht="15.6">
      <c r="A44" t="s">
        <v>703</v>
      </c>
      <c r="B44" s="23">
        <f>0.9*B43</f>
        <v>0.67500000000000004</v>
      </c>
      <c r="C44" s="180"/>
      <c r="D44" s="180" t="s">
        <v>37</v>
      </c>
      <c r="E44" s="88" t="s">
        <v>40</v>
      </c>
      <c r="F44" s="59" t="s">
        <v>1910</v>
      </c>
      <c r="G44" s="180" t="s">
        <v>59</v>
      </c>
      <c r="H44" s="59" t="s">
        <v>136</v>
      </c>
      <c r="I44" s="59">
        <v>0</v>
      </c>
      <c r="J44" s="180" t="s">
        <v>31</v>
      </c>
      <c r="K44" s="180" t="s">
        <v>31</v>
      </c>
      <c r="L44" s="180" t="s">
        <v>31</v>
      </c>
      <c r="M44" s="180" t="s">
        <v>31</v>
      </c>
      <c r="N44" s="180" t="s">
        <v>31</v>
      </c>
      <c r="O44" s="59"/>
      <c r="P44" s="59" t="s">
        <v>1373</v>
      </c>
    </row>
    <row r="45" spans="1:16" ht="16.5" customHeight="1">
      <c r="A45" t="s">
        <v>403</v>
      </c>
      <c r="B45" s="23">
        <f>-(1-B44)</f>
        <v>-0.32499999999999996</v>
      </c>
      <c r="D45" t="s">
        <v>37</v>
      </c>
      <c r="E45" s="88" t="s">
        <v>40</v>
      </c>
      <c r="F45" s="59" t="s">
        <v>1910</v>
      </c>
      <c r="G45" t="s">
        <v>59</v>
      </c>
      <c r="H45" t="s">
        <v>33</v>
      </c>
      <c r="I45">
        <v>0</v>
      </c>
      <c r="J45" t="s">
        <v>31</v>
      </c>
      <c r="K45" t="s">
        <v>31</v>
      </c>
      <c r="L45" t="s">
        <v>31</v>
      </c>
      <c r="M45" t="s">
        <v>31</v>
      </c>
      <c r="N45" t="s">
        <v>31</v>
      </c>
      <c r="O45" s="17"/>
      <c r="P45" s="59" t="s">
        <v>1377</v>
      </c>
    </row>
    <row r="46" spans="1:16" s="70" customFormat="1" ht="15.6">
      <c r="A46" s="178" t="s">
        <v>5</v>
      </c>
      <c r="B46" s="178" t="s">
        <v>1919</v>
      </c>
      <c r="C46" s="178"/>
      <c r="D46" s="69"/>
      <c r="E46" s="144"/>
      <c r="F46" s="144"/>
      <c r="G46" s="144"/>
      <c r="H46" s="144"/>
      <c r="I46" s="144"/>
      <c r="J46" s="144"/>
      <c r="K46" s="144"/>
      <c r="L46" s="144"/>
      <c r="M46" s="144"/>
      <c r="N46" s="144"/>
      <c r="O46" s="144"/>
      <c r="P46" s="144"/>
    </row>
    <row r="47" spans="1:16">
      <c r="A47" s="59" t="s">
        <v>7</v>
      </c>
      <c r="B47" s="59" t="s">
        <v>1873</v>
      </c>
      <c r="C47" s="59"/>
      <c r="D47" s="59"/>
      <c r="E47" s="59"/>
      <c r="F47" s="59"/>
      <c r="G47" s="59"/>
      <c r="H47" s="59"/>
      <c r="I47" s="59"/>
      <c r="J47" s="59"/>
      <c r="K47" s="59"/>
      <c r="L47" s="59"/>
      <c r="M47" s="59"/>
      <c r="N47" s="59"/>
      <c r="O47" s="59"/>
      <c r="P47" s="59"/>
    </row>
    <row r="48" spans="1:16">
      <c r="A48" s="59" t="s">
        <v>9</v>
      </c>
      <c r="B48" s="59" t="s">
        <v>1920</v>
      </c>
      <c r="C48" s="59"/>
      <c r="D48" s="59"/>
      <c r="E48" s="59"/>
      <c r="F48" s="59"/>
      <c r="G48" s="59"/>
      <c r="H48" s="59"/>
      <c r="I48" s="59"/>
      <c r="J48" s="59"/>
      <c r="K48" s="59"/>
      <c r="L48" s="59"/>
      <c r="M48" s="59"/>
      <c r="N48" s="59"/>
      <c r="O48" s="59"/>
      <c r="P48" s="59"/>
    </row>
    <row r="49" spans="1:22">
      <c r="A49" s="59" t="s">
        <v>11</v>
      </c>
      <c r="B49" s="59" t="s">
        <v>1909</v>
      </c>
      <c r="C49" s="59"/>
      <c r="D49" s="59"/>
      <c r="E49" s="59"/>
      <c r="F49" s="59"/>
      <c r="G49" s="59"/>
      <c r="H49" s="59"/>
      <c r="I49" s="59"/>
      <c r="J49" s="59"/>
      <c r="K49" s="59"/>
      <c r="L49" s="59"/>
      <c r="M49" s="59"/>
      <c r="N49" s="59"/>
      <c r="O49" s="59"/>
      <c r="P49" s="59"/>
    </row>
    <row r="50" spans="1:22">
      <c r="A50" s="59" t="s">
        <v>13</v>
      </c>
      <c r="B50" s="59" t="s">
        <v>59</v>
      </c>
      <c r="C50" s="59"/>
      <c r="D50" s="59"/>
      <c r="E50" s="59"/>
      <c r="F50" s="59"/>
      <c r="G50" s="59"/>
      <c r="H50" s="59"/>
      <c r="I50" s="59"/>
      <c r="J50" s="59"/>
      <c r="K50" s="59"/>
      <c r="L50" s="59"/>
      <c r="M50" s="59"/>
      <c r="N50" s="59"/>
      <c r="O50" s="59"/>
      <c r="P50" s="59"/>
    </row>
    <row r="51" spans="1:22">
      <c r="A51" s="59" t="s">
        <v>15</v>
      </c>
      <c r="B51" s="59">
        <v>1</v>
      </c>
      <c r="C51" s="59"/>
      <c r="D51" s="59"/>
      <c r="E51" s="59"/>
      <c r="F51" s="59"/>
      <c r="G51" s="59"/>
      <c r="H51" s="59"/>
      <c r="I51" s="59"/>
      <c r="J51" s="59"/>
      <c r="K51" s="59"/>
      <c r="L51" s="59"/>
      <c r="M51" s="59"/>
      <c r="N51" s="59"/>
      <c r="O51" s="59"/>
      <c r="P51" s="59"/>
    </row>
    <row r="52" spans="1:22">
      <c r="A52" s="59" t="s">
        <v>16</v>
      </c>
      <c r="B52" s="59" t="s">
        <v>17</v>
      </c>
      <c r="C52" s="59"/>
      <c r="D52" s="59"/>
      <c r="E52" s="59"/>
      <c r="F52" s="59"/>
      <c r="G52" s="59"/>
      <c r="H52" s="59"/>
      <c r="I52" s="59"/>
      <c r="J52" s="59"/>
      <c r="K52" s="59"/>
      <c r="L52" s="59"/>
      <c r="M52" s="59"/>
      <c r="N52" s="59"/>
      <c r="O52" s="59"/>
      <c r="P52" s="59"/>
    </row>
    <row r="53" spans="1:22" ht="15.6">
      <c r="A53" s="59" t="s">
        <v>18</v>
      </c>
      <c r="B53" s="180" t="s">
        <v>37</v>
      </c>
      <c r="C53" s="59"/>
      <c r="D53" s="59"/>
      <c r="E53" s="59" t="s">
        <v>235</v>
      </c>
      <c r="F53" s="59"/>
      <c r="G53" s="59"/>
      <c r="H53" s="59"/>
      <c r="I53" s="59"/>
      <c r="J53" s="59"/>
      <c r="K53" s="59"/>
      <c r="L53" s="59"/>
      <c r="M53" s="59"/>
      <c r="N53" s="59"/>
      <c r="O53" s="59"/>
      <c r="P53" s="59"/>
    </row>
    <row r="54" spans="1:22" ht="15.6">
      <c r="A54" s="181" t="s">
        <v>19</v>
      </c>
      <c r="B54" s="59"/>
      <c r="C54" s="59"/>
      <c r="D54" s="59"/>
      <c r="E54" s="59"/>
      <c r="F54" s="59"/>
      <c r="G54" s="59"/>
      <c r="H54" s="59"/>
      <c r="I54" s="59"/>
      <c r="J54" s="59"/>
      <c r="K54" s="59"/>
      <c r="L54" s="59"/>
      <c r="M54" s="59"/>
      <c r="N54" s="59"/>
      <c r="O54" s="59"/>
      <c r="P54" s="59"/>
    </row>
    <row r="55" spans="1:22" ht="15.6">
      <c r="A55" s="181" t="s">
        <v>20</v>
      </c>
      <c r="B55" s="181" t="s">
        <v>21</v>
      </c>
      <c r="C55" s="181" t="s">
        <v>217</v>
      </c>
      <c r="D55" s="181" t="s">
        <v>18</v>
      </c>
      <c r="E55" s="181" t="s">
        <v>22</v>
      </c>
      <c r="F55" s="181" t="s">
        <v>7</v>
      </c>
      <c r="G55" s="181" t="s">
        <v>13</v>
      </c>
      <c r="H55" s="181" t="s">
        <v>16</v>
      </c>
      <c r="I55" s="181" t="s">
        <v>23</v>
      </c>
      <c r="J55" s="181" t="s">
        <v>24</v>
      </c>
      <c r="K55" s="181" t="s">
        <v>25</v>
      </c>
      <c r="L55" s="181" t="s">
        <v>26</v>
      </c>
      <c r="M55" s="181" t="s">
        <v>27</v>
      </c>
      <c r="N55" s="181" t="s">
        <v>28</v>
      </c>
      <c r="O55" s="181" t="s">
        <v>11</v>
      </c>
      <c r="P55" s="181" t="s">
        <v>702</v>
      </c>
    </row>
    <row r="56" spans="1:22" ht="15.6">
      <c r="A56" s="180" t="str">
        <f>B46</f>
        <v>treatment of titanium, wing, airframe, PEMFC-bat, Long-Term</v>
      </c>
      <c r="B56" s="180">
        <v>1</v>
      </c>
      <c r="C56" s="180"/>
      <c r="D56" s="180" t="s">
        <v>37</v>
      </c>
      <c r="E56" s="59" t="s">
        <v>2</v>
      </c>
      <c r="F56" s="59" t="s">
        <v>1910</v>
      </c>
      <c r="G56" s="180" t="s">
        <v>59</v>
      </c>
      <c r="H56" s="59" t="s">
        <v>30</v>
      </c>
      <c r="I56" s="59">
        <v>0</v>
      </c>
      <c r="J56" s="180" t="s">
        <v>31</v>
      </c>
      <c r="K56" s="180" t="s">
        <v>31</v>
      </c>
      <c r="L56" s="180" t="s">
        <v>31</v>
      </c>
      <c r="M56" s="180" t="s">
        <v>31</v>
      </c>
      <c r="N56" s="180" t="s">
        <v>31</v>
      </c>
      <c r="O56" s="180" t="s">
        <v>1918</v>
      </c>
      <c r="P56" s="59"/>
    </row>
    <row r="57" spans="1:22">
      <c r="A57" t="s">
        <v>269</v>
      </c>
      <c r="B57">
        <f>U57</f>
        <v>9.5000076</v>
      </c>
      <c r="D57" t="s">
        <v>39</v>
      </c>
      <c r="E57" t="s">
        <v>40</v>
      </c>
      <c r="F57" s="59" t="s">
        <v>1910</v>
      </c>
      <c r="G57" t="s">
        <v>59</v>
      </c>
      <c r="H57" t="s">
        <v>33</v>
      </c>
      <c r="I57">
        <v>2</v>
      </c>
      <c r="J57">
        <v>9.398101209</v>
      </c>
      <c r="K57">
        <v>0.30331501799999999</v>
      </c>
      <c r="L57" t="s">
        <v>31</v>
      </c>
      <c r="M57" t="s">
        <v>31</v>
      </c>
      <c r="N57" t="s">
        <v>31</v>
      </c>
      <c r="O57" t="s">
        <v>260</v>
      </c>
      <c r="P57" t="s">
        <v>1876</v>
      </c>
      <c r="Q57" s="22" t="s">
        <v>1921</v>
      </c>
      <c r="S57" s="22">
        <f>114*0.6*0.5</f>
        <v>34.199999999999996</v>
      </c>
      <c r="T57" s="22" t="s">
        <v>250</v>
      </c>
      <c r="U57" s="22">
        <f>S57*0.277778</f>
        <v>9.5000076</v>
      </c>
      <c r="V57" s="22" t="s">
        <v>248</v>
      </c>
    </row>
    <row r="58" spans="1:22">
      <c r="A58" t="s">
        <v>69</v>
      </c>
      <c r="B58">
        <f>U58</f>
        <v>0.59530026109660583</v>
      </c>
      <c r="D58" t="s">
        <v>42</v>
      </c>
      <c r="E58" t="s">
        <v>40</v>
      </c>
      <c r="F58" s="59" t="s">
        <v>1910</v>
      </c>
      <c r="G58" t="s">
        <v>249</v>
      </c>
      <c r="H58" t="s">
        <v>33</v>
      </c>
      <c r="I58">
        <v>2</v>
      </c>
      <c r="J58">
        <v>6.6281192500000001</v>
      </c>
      <c r="K58">
        <v>0.30331501799999999</v>
      </c>
      <c r="L58" t="s">
        <v>31</v>
      </c>
      <c r="M58" t="s">
        <v>31</v>
      </c>
      <c r="N58" t="s">
        <v>31</v>
      </c>
      <c r="O58" t="s">
        <v>260</v>
      </c>
      <c r="P58" t="s">
        <v>1876</v>
      </c>
      <c r="Q58" s="22" t="s">
        <v>1922</v>
      </c>
      <c r="S58" s="22">
        <f>114*0.4*0.5</f>
        <v>22.8</v>
      </c>
      <c r="T58" s="22" t="s">
        <v>250</v>
      </c>
      <c r="U58" s="22">
        <f>S58/38.3</f>
        <v>0.59530026109660583</v>
      </c>
      <c r="V58" s="22" t="s">
        <v>251</v>
      </c>
    </row>
    <row r="59" spans="1:22">
      <c r="A59" s="204" t="s">
        <v>88</v>
      </c>
      <c r="B59" s="205">
        <f>S59</f>
        <v>0.5</v>
      </c>
      <c r="C59" s="205"/>
      <c r="D59" s="22" t="s">
        <v>37</v>
      </c>
      <c r="E59" s="22" t="s">
        <v>40</v>
      </c>
      <c r="F59" s="59" t="s">
        <v>1910</v>
      </c>
      <c r="G59" s="22" t="s">
        <v>59</v>
      </c>
      <c r="H59" s="22" t="s">
        <v>136</v>
      </c>
      <c r="I59" s="22">
        <v>2</v>
      </c>
      <c r="J59" s="22">
        <f t="shared" ref="J59" si="0">LN(B59)</f>
        <v>-0.69314718055994529</v>
      </c>
      <c r="K59" s="22">
        <v>0.30331501776206199</v>
      </c>
      <c r="L59" s="22" t="s">
        <v>31</v>
      </c>
      <c r="M59" s="22" t="s">
        <v>31</v>
      </c>
      <c r="N59" s="22" t="s">
        <v>31</v>
      </c>
      <c r="O59" s="22" t="s">
        <v>260</v>
      </c>
      <c r="P59" t="s">
        <v>1876</v>
      </c>
      <c r="Q59" s="22"/>
      <c r="R59" s="22"/>
      <c r="S59" s="22">
        <v>0.5</v>
      </c>
      <c r="T59" s="22" t="s">
        <v>241</v>
      </c>
    </row>
    <row r="60" spans="1:22" ht="15.6">
      <c r="A60" t="s">
        <v>403</v>
      </c>
      <c r="B60" s="23">
        <f>-0.5</f>
        <v>-0.5</v>
      </c>
      <c r="D60" t="s">
        <v>37</v>
      </c>
      <c r="E60" s="88" t="s">
        <v>40</v>
      </c>
      <c r="F60" s="59" t="s">
        <v>1910</v>
      </c>
      <c r="G60" t="s">
        <v>59</v>
      </c>
      <c r="H60" t="s">
        <v>33</v>
      </c>
      <c r="I60">
        <v>0</v>
      </c>
      <c r="J60" t="s">
        <v>31</v>
      </c>
      <c r="K60" t="s">
        <v>31</v>
      </c>
      <c r="L60" t="s">
        <v>31</v>
      </c>
      <c r="M60" t="s">
        <v>31</v>
      </c>
      <c r="N60" t="s">
        <v>31</v>
      </c>
      <c r="O60" s="17"/>
      <c r="P60" s="59" t="s">
        <v>1879</v>
      </c>
    </row>
    <row r="61" spans="1:22" s="70" customFormat="1" ht="15.6">
      <c r="A61" s="178" t="s">
        <v>5</v>
      </c>
      <c r="B61" s="178" t="s">
        <v>1923</v>
      </c>
      <c r="C61" s="178"/>
      <c r="D61" s="69"/>
      <c r="E61" s="144"/>
      <c r="F61" s="144"/>
      <c r="G61" s="144"/>
      <c r="H61" s="144"/>
      <c r="I61" s="144"/>
      <c r="J61" s="144"/>
      <c r="K61" s="144"/>
      <c r="L61" s="144"/>
      <c r="M61" s="144"/>
      <c r="N61" s="144"/>
      <c r="O61" s="144"/>
      <c r="P61" s="144"/>
    </row>
    <row r="62" spans="1:22">
      <c r="A62" s="59" t="s">
        <v>7</v>
      </c>
      <c r="B62" s="59" t="s">
        <v>1873</v>
      </c>
      <c r="C62" s="59"/>
      <c r="D62" s="59"/>
      <c r="E62" s="59"/>
      <c r="F62" s="59"/>
      <c r="G62" s="59"/>
      <c r="H62" s="59"/>
      <c r="I62" s="59"/>
      <c r="J62" s="59"/>
      <c r="K62" s="59"/>
      <c r="L62" s="59"/>
      <c r="M62" s="59"/>
      <c r="N62" s="59"/>
      <c r="O62" s="59"/>
      <c r="P62" s="59"/>
    </row>
    <row r="63" spans="1:22">
      <c r="A63" s="59" t="s">
        <v>9</v>
      </c>
      <c r="B63" s="59" t="s">
        <v>1924</v>
      </c>
      <c r="C63" s="59"/>
      <c r="D63" s="59"/>
      <c r="E63" s="59"/>
      <c r="F63" s="59"/>
      <c r="G63" s="59"/>
      <c r="H63" s="59"/>
      <c r="I63" s="59"/>
      <c r="J63" s="59"/>
      <c r="K63" s="59"/>
      <c r="L63" s="59"/>
      <c r="M63" s="59"/>
      <c r="N63" s="59"/>
      <c r="O63" s="59"/>
      <c r="P63" s="59"/>
    </row>
    <row r="64" spans="1:22">
      <c r="A64" s="59" t="s">
        <v>11</v>
      </c>
      <c r="B64" s="59" t="s">
        <v>1909</v>
      </c>
      <c r="C64" s="59"/>
      <c r="D64" s="59"/>
      <c r="E64" s="59"/>
      <c r="F64" s="59"/>
      <c r="G64" s="59"/>
      <c r="H64" s="59"/>
      <c r="I64" s="59"/>
      <c r="J64" s="59"/>
      <c r="K64" s="59"/>
      <c r="L64" s="59"/>
      <c r="M64" s="59"/>
      <c r="N64" s="59"/>
      <c r="O64" s="59"/>
      <c r="P64" s="59"/>
    </row>
    <row r="65" spans="1:16">
      <c r="A65" s="59" t="s">
        <v>13</v>
      </c>
      <c r="B65" s="59" t="s">
        <v>59</v>
      </c>
      <c r="C65" s="59"/>
      <c r="D65" s="59"/>
      <c r="E65" s="59"/>
      <c r="F65" s="59"/>
      <c r="G65" s="59"/>
      <c r="H65" s="59"/>
      <c r="I65" s="59"/>
      <c r="J65" s="59"/>
      <c r="K65" s="59"/>
      <c r="L65" s="59"/>
      <c r="M65" s="59"/>
      <c r="N65" s="59"/>
      <c r="O65" s="59"/>
      <c r="P65" s="59"/>
    </row>
    <row r="66" spans="1:16">
      <c r="A66" s="59" t="s">
        <v>15</v>
      </c>
      <c r="B66" s="59">
        <v>1</v>
      </c>
      <c r="C66" s="59"/>
      <c r="D66" s="59"/>
      <c r="E66" s="59"/>
      <c r="F66" s="59"/>
      <c r="G66" s="59"/>
      <c r="H66" s="59"/>
      <c r="I66" s="59"/>
      <c r="J66" s="59"/>
      <c r="K66" s="59"/>
      <c r="L66" s="59"/>
      <c r="M66" s="59"/>
      <c r="N66" s="59"/>
      <c r="O66" s="59"/>
      <c r="P66" s="59"/>
    </row>
    <row r="67" spans="1:16">
      <c r="A67" s="59" t="s">
        <v>16</v>
      </c>
      <c r="B67" s="59" t="s">
        <v>17</v>
      </c>
      <c r="C67" s="59"/>
      <c r="D67" s="59"/>
      <c r="E67" s="59"/>
      <c r="F67" s="59"/>
      <c r="G67" s="59"/>
      <c r="H67" s="59"/>
      <c r="I67" s="59"/>
      <c r="J67" s="59"/>
      <c r="K67" s="59"/>
      <c r="L67" s="59"/>
      <c r="M67" s="59"/>
      <c r="N67" s="59"/>
      <c r="O67" s="59"/>
      <c r="P67" s="59"/>
    </row>
    <row r="68" spans="1:16" ht="15.6">
      <c r="A68" s="59" t="s">
        <v>18</v>
      </c>
      <c r="B68" s="180" t="s">
        <v>37</v>
      </c>
      <c r="C68" s="59"/>
      <c r="D68" s="59"/>
      <c r="E68" s="59" t="s">
        <v>235</v>
      </c>
      <c r="F68" s="59"/>
      <c r="G68" s="59"/>
      <c r="H68" s="59"/>
      <c r="I68" s="59"/>
      <c r="J68" s="59"/>
      <c r="K68" s="59"/>
      <c r="L68" s="59"/>
      <c r="M68" s="59"/>
      <c r="N68" s="59"/>
      <c r="O68" s="59"/>
      <c r="P68" s="59"/>
    </row>
    <row r="69" spans="1:16" ht="15.6">
      <c r="A69" s="181" t="s">
        <v>19</v>
      </c>
      <c r="B69" s="59"/>
      <c r="C69" s="59"/>
      <c r="D69" s="59"/>
      <c r="E69" s="59"/>
      <c r="F69" s="59"/>
      <c r="G69" s="59"/>
      <c r="H69" s="59"/>
      <c r="I69" s="59"/>
      <c r="J69" s="59"/>
      <c r="K69" s="59"/>
      <c r="L69" s="59"/>
      <c r="M69" s="59"/>
      <c r="N69" s="59"/>
      <c r="O69" s="59"/>
      <c r="P69" s="59"/>
    </row>
    <row r="70" spans="1:16" ht="15.6">
      <c r="A70" s="181" t="s">
        <v>20</v>
      </c>
      <c r="B70" s="181" t="s">
        <v>21</v>
      </c>
      <c r="C70" s="181" t="s">
        <v>217</v>
      </c>
      <c r="D70" s="181" t="s">
        <v>18</v>
      </c>
      <c r="E70" s="181" t="s">
        <v>22</v>
      </c>
      <c r="F70" s="181" t="s">
        <v>7</v>
      </c>
      <c r="G70" s="181" t="s">
        <v>13</v>
      </c>
      <c r="H70" s="181" t="s">
        <v>16</v>
      </c>
      <c r="I70" s="181" t="s">
        <v>23</v>
      </c>
      <c r="J70" s="181" t="s">
        <v>24</v>
      </c>
      <c r="K70" s="181" t="s">
        <v>25</v>
      </c>
      <c r="L70" s="181" t="s">
        <v>26</v>
      </c>
      <c r="M70" s="181" t="s">
        <v>27</v>
      </c>
      <c r="N70" s="181" t="s">
        <v>28</v>
      </c>
      <c r="O70" s="181" t="s">
        <v>11</v>
      </c>
      <c r="P70" s="181" t="s">
        <v>702</v>
      </c>
    </row>
    <row r="71" spans="1:16" ht="15.6">
      <c r="A71" s="180" t="str">
        <f>B61</f>
        <v>treatment of aluminium, tail, airframe, PEMFC-bat, Long-Term</v>
      </c>
      <c r="B71" s="180">
        <v>1</v>
      </c>
      <c r="C71" s="180"/>
      <c r="D71" s="180" t="s">
        <v>37</v>
      </c>
      <c r="E71" s="59" t="s">
        <v>2</v>
      </c>
      <c r="F71" s="59" t="s">
        <v>1910</v>
      </c>
      <c r="G71" s="180" t="s">
        <v>59</v>
      </c>
      <c r="H71" s="59" t="s">
        <v>30</v>
      </c>
      <c r="I71" s="59">
        <v>0</v>
      </c>
      <c r="J71" s="180" t="s">
        <v>31</v>
      </c>
      <c r="K71" s="180" t="s">
        <v>31</v>
      </c>
      <c r="L71" s="180" t="s">
        <v>31</v>
      </c>
      <c r="M71" s="180" t="s">
        <v>31</v>
      </c>
      <c r="N71" s="180" t="s">
        <v>31</v>
      </c>
      <c r="O71" s="180" t="s">
        <v>1925</v>
      </c>
      <c r="P71" s="59"/>
    </row>
    <row r="72" spans="1:16" ht="15.6">
      <c r="A72" t="s">
        <v>263</v>
      </c>
      <c r="B72" s="23">
        <v>0.64</v>
      </c>
      <c r="C72" s="180"/>
      <c r="D72" s="180" t="s">
        <v>37</v>
      </c>
      <c r="E72" s="37" t="s">
        <v>40</v>
      </c>
      <c r="F72" s="59" t="s">
        <v>1910</v>
      </c>
      <c r="G72" s="180" t="s">
        <v>82</v>
      </c>
      <c r="H72" s="59" t="s">
        <v>33</v>
      </c>
      <c r="I72" s="59">
        <v>0</v>
      </c>
      <c r="J72" s="180" t="s">
        <v>31</v>
      </c>
      <c r="K72" s="180" t="s">
        <v>31</v>
      </c>
      <c r="L72" s="180" t="s">
        <v>31</v>
      </c>
      <c r="M72" s="180" t="s">
        <v>31</v>
      </c>
      <c r="N72" s="180" t="s">
        <v>31</v>
      </c>
      <c r="O72" s="59"/>
      <c r="P72" s="59"/>
    </row>
    <row r="73" spans="1:16" ht="15.6">
      <c r="A73" t="s">
        <v>265</v>
      </c>
      <c r="B73" s="23">
        <v>0.64</v>
      </c>
      <c r="C73" s="22" t="s">
        <v>266</v>
      </c>
      <c r="D73" t="s">
        <v>37</v>
      </c>
      <c r="E73" s="188" t="s">
        <v>40</v>
      </c>
      <c r="F73" s="59" t="s">
        <v>1910</v>
      </c>
      <c r="G73" s="180" t="s">
        <v>82</v>
      </c>
      <c r="H73" s="59" t="s">
        <v>33</v>
      </c>
      <c r="I73" s="59">
        <v>0</v>
      </c>
      <c r="J73" s="180" t="s">
        <v>31</v>
      </c>
      <c r="K73" s="180" t="s">
        <v>31</v>
      </c>
      <c r="L73" s="180" t="s">
        <v>31</v>
      </c>
      <c r="M73" s="180" t="s">
        <v>31</v>
      </c>
      <c r="N73" s="180" t="s">
        <v>31</v>
      </c>
      <c r="O73" s="180" t="s">
        <v>1367</v>
      </c>
    </row>
    <row r="74" spans="1:16" ht="15.6">
      <c r="A74" t="s">
        <v>347</v>
      </c>
      <c r="B74" s="23">
        <f>B73*0.9</f>
        <v>0.57600000000000007</v>
      </c>
      <c r="D74" t="s">
        <v>37</v>
      </c>
      <c r="E74" s="188" t="s">
        <v>40</v>
      </c>
      <c r="F74" s="59" t="s">
        <v>1910</v>
      </c>
      <c r="G74" t="s">
        <v>59</v>
      </c>
      <c r="H74" s="59" t="s">
        <v>136</v>
      </c>
      <c r="I74" s="59">
        <v>0</v>
      </c>
      <c r="J74" s="180" t="s">
        <v>31</v>
      </c>
      <c r="K74" s="180" t="s">
        <v>31</v>
      </c>
      <c r="L74" s="180" t="s">
        <v>31</v>
      </c>
      <c r="M74" s="180" t="s">
        <v>31</v>
      </c>
      <c r="N74" s="180" t="s">
        <v>31</v>
      </c>
      <c r="O74" s="59"/>
      <c r="P74" s="180" t="s">
        <v>1368</v>
      </c>
    </row>
    <row r="75" spans="1:16" ht="15.6">
      <c r="A75" t="s">
        <v>403</v>
      </c>
      <c r="B75" s="23">
        <f>-(1-B74)</f>
        <v>-0.42399999999999993</v>
      </c>
      <c r="D75" t="s">
        <v>37</v>
      </c>
      <c r="E75" s="88" t="s">
        <v>40</v>
      </c>
      <c r="F75" s="59" t="s">
        <v>1910</v>
      </c>
      <c r="G75" t="s">
        <v>59</v>
      </c>
      <c r="H75" t="s">
        <v>33</v>
      </c>
      <c r="I75">
        <v>0</v>
      </c>
      <c r="J75" t="s">
        <v>31</v>
      </c>
      <c r="K75" t="s">
        <v>31</v>
      </c>
      <c r="L75" t="s">
        <v>31</v>
      </c>
      <c r="M75" t="s">
        <v>31</v>
      </c>
      <c r="N75" t="s">
        <v>31</v>
      </c>
      <c r="O75" s="17"/>
      <c r="P75" s="59"/>
    </row>
    <row r="76" spans="1:16" s="70" customFormat="1" ht="15.6">
      <c r="A76" s="178" t="s">
        <v>5</v>
      </c>
      <c r="B76" s="178" t="s">
        <v>1926</v>
      </c>
      <c r="C76" s="178"/>
      <c r="D76" s="69"/>
      <c r="E76" s="144"/>
      <c r="F76" s="144"/>
      <c r="G76" s="144"/>
      <c r="H76" s="144"/>
      <c r="I76" s="144"/>
      <c r="J76" s="144"/>
      <c r="K76" s="144"/>
      <c r="L76" s="144"/>
      <c r="M76" s="144"/>
      <c r="N76" s="144"/>
      <c r="O76" s="144"/>
      <c r="P76" s="144"/>
    </row>
    <row r="77" spans="1:16">
      <c r="A77" s="59" t="s">
        <v>7</v>
      </c>
      <c r="B77" s="59" t="s">
        <v>1873</v>
      </c>
      <c r="C77" s="59"/>
      <c r="D77" s="59"/>
      <c r="E77" s="59"/>
      <c r="F77" s="59"/>
      <c r="G77" s="59"/>
      <c r="H77" s="59"/>
      <c r="I77" s="59"/>
      <c r="J77" s="59"/>
      <c r="K77" s="59"/>
      <c r="L77" s="59"/>
      <c r="M77" s="59"/>
      <c r="N77" s="59"/>
      <c r="O77" s="59"/>
      <c r="P77" s="59"/>
    </row>
    <row r="78" spans="1:16">
      <c r="A78" s="59" t="s">
        <v>9</v>
      </c>
      <c r="B78" s="59" t="s">
        <v>1927</v>
      </c>
      <c r="C78" s="59"/>
      <c r="D78" s="59"/>
      <c r="E78" s="59"/>
      <c r="F78" s="59"/>
      <c r="G78" s="59"/>
      <c r="H78" s="59"/>
      <c r="I78" s="59"/>
      <c r="J78" s="59"/>
      <c r="K78" s="59"/>
      <c r="L78" s="59"/>
      <c r="M78" s="59"/>
      <c r="N78" s="59"/>
      <c r="O78" s="59"/>
      <c r="P78" s="59"/>
    </row>
    <row r="79" spans="1:16">
      <c r="A79" s="59" t="s">
        <v>11</v>
      </c>
      <c r="B79" s="59" t="s">
        <v>1928</v>
      </c>
      <c r="C79" s="59"/>
      <c r="D79" s="59"/>
      <c r="E79" s="59"/>
      <c r="F79" s="59"/>
      <c r="G79" s="59"/>
      <c r="H79" s="59"/>
      <c r="I79" s="59"/>
      <c r="J79" s="59"/>
      <c r="K79" s="59"/>
      <c r="L79" s="59"/>
      <c r="M79" s="59"/>
      <c r="N79" s="59"/>
      <c r="O79" s="59"/>
      <c r="P79" s="59"/>
    </row>
    <row r="80" spans="1:16">
      <c r="A80" s="59" t="s">
        <v>13</v>
      </c>
      <c r="B80" s="59" t="s">
        <v>59</v>
      </c>
      <c r="C80" s="59"/>
      <c r="D80" s="59"/>
      <c r="E80" s="59"/>
      <c r="F80" s="59"/>
      <c r="G80" s="59"/>
      <c r="H80" s="59"/>
      <c r="I80" s="59"/>
      <c r="J80" s="59"/>
      <c r="K80" s="59"/>
      <c r="L80" s="59"/>
      <c r="M80" s="59"/>
      <c r="N80" s="59"/>
      <c r="O80" s="59"/>
      <c r="P80" s="59"/>
    </row>
    <row r="81" spans="1:16">
      <c r="A81" s="59" t="s">
        <v>15</v>
      </c>
      <c r="B81" s="59">
        <v>1</v>
      </c>
      <c r="C81" s="59"/>
      <c r="D81" s="59"/>
      <c r="E81" s="59"/>
      <c r="F81" s="59"/>
      <c r="G81" s="59"/>
      <c r="H81" s="59"/>
      <c r="I81" s="59"/>
      <c r="J81" s="59"/>
      <c r="K81" s="59"/>
      <c r="L81" s="59"/>
      <c r="M81" s="59"/>
      <c r="N81" s="59"/>
      <c r="O81" s="59"/>
      <c r="P81" s="59"/>
    </row>
    <row r="82" spans="1:16">
      <c r="A82" s="59" t="s">
        <v>16</v>
      </c>
      <c r="B82" s="59" t="s">
        <v>17</v>
      </c>
      <c r="C82" s="59"/>
      <c r="D82" s="59"/>
      <c r="E82" s="59"/>
      <c r="F82" s="59"/>
      <c r="G82" s="59"/>
      <c r="H82" s="59"/>
      <c r="I82" s="59"/>
      <c r="J82" s="59"/>
      <c r="K82" s="59"/>
      <c r="L82" s="59"/>
      <c r="M82" s="59"/>
      <c r="N82" s="59"/>
      <c r="O82" s="59"/>
      <c r="P82" s="59"/>
    </row>
    <row r="83" spans="1:16" ht="15.6">
      <c r="A83" s="59" t="s">
        <v>18</v>
      </c>
      <c r="B83" s="180" t="s">
        <v>37</v>
      </c>
      <c r="C83" s="59"/>
      <c r="D83" s="59"/>
      <c r="E83" s="59" t="s">
        <v>235</v>
      </c>
      <c r="F83" s="59"/>
      <c r="G83" s="59"/>
      <c r="H83" s="59"/>
      <c r="I83" s="59"/>
      <c r="J83" s="59"/>
      <c r="K83" s="59"/>
      <c r="L83" s="59"/>
      <c r="M83" s="59"/>
      <c r="N83" s="59"/>
      <c r="O83" s="59"/>
      <c r="P83" s="59"/>
    </row>
    <row r="84" spans="1:16" ht="15.6">
      <c r="A84" s="181" t="s">
        <v>19</v>
      </c>
      <c r="B84" s="59"/>
      <c r="C84" s="59"/>
      <c r="D84" s="59"/>
      <c r="E84" s="59"/>
      <c r="F84" s="59"/>
      <c r="G84" s="59"/>
      <c r="H84" s="59"/>
      <c r="I84" s="59"/>
      <c r="J84" s="59"/>
      <c r="K84" s="59"/>
      <c r="L84" s="59"/>
      <c r="M84" s="59"/>
      <c r="N84" s="59"/>
      <c r="O84" s="59"/>
      <c r="P84" s="59"/>
    </row>
    <row r="85" spans="1:16" ht="15.6">
      <c r="A85" s="181" t="s">
        <v>20</v>
      </c>
      <c r="B85" s="181" t="s">
        <v>21</v>
      </c>
      <c r="C85" s="181" t="s">
        <v>217</v>
      </c>
      <c r="D85" s="181" t="s">
        <v>18</v>
      </c>
      <c r="E85" s="181" t="s">
        <v>22</v>
      </c>
      <c r="F85" s="181" t="s">
        <v>7</v>
      </c>
      <c r="G85" s="181" t="s">
        <v>13</v>
      </c>
      <c r="H85" s="181" t="s">
        <v>16</v>
      </c>
      <c r="I85" s="181" t="s">
        <v>23</v>
      </c>
      <c r="J85" s="181" t="s">
        <v>24</v>
      </c>
      <c r="K85" s="181" t="s">
        <v>25</v>
      </c>
      <c r="L85" s="181" t="s">
        <v>26</v>
      </c>
      <c r="M85" s="181" t="s">
        <v>27</v>
      </c>
      <c r="N85" s="181" t="s">
        <v>28</v>
      </c>
      <c r="O85" s="181" t="s">
        <v>11</v>
      </c>
      <c r="P85" s="181" t="s">
        <v>702</v>
      </c>
    </row>
    <row r="86" spans="1:16" ht="15.6">
      <c r="A86" s="180" t="str">
        <f>B76</f>
        <v>treatment of composites, tail, airframe, PEMFC-bat, Long-Term</v>
      </c>
      <c r="B86" s="180">
        <v>1</v>
      </c>
      <c r="C86" s="180"/>
      <c r="D86" s="180" t="s">
        <v>37</v>
      </c>
      <c r="E86" s="59" t="s">
        <v>2</v>
      </c>
      <c r="F86" s="59" t="s">
        <v>1910</v>
      </c>
      <c r="G86" s="180" t="s">
        <v>59</v>
      </c>
      <c r="H86" s="59" t="s">
        <v>30</v>
      </c>
      <c r="I86" s="59">
        <v>0</v>
      </c>
      <c r="J86" s="180" t="s">
        <v>31</v>
      </c>
      <c r="K86" s="180" t="s">
        <v>31</v>
      </c>
      <c r="L86" s="180" t="s">
        <v>31</v>
      </c>
      <c r="M86" s="180" t="s">
        <v>31</v>
      </c>
      <c r="N86" s="180" t="s">
        <v>31</v>
      </c>
      <c r="O86" s="180" t="s">
        <v>1929</v>
      </c>
      <c r="P86" s="59"/>
    </row>
    <row r="87" spans="1:16" ht="15.6">
      <c r="A87" s="88" t="s">
        <v>572</v>
      </c>
      <c r="B87">
        <v>-0.5</v>
      </c>
      <c r="D87" t="s">
        <v>37</v>
      </c>
      <c r="E87" s="188" t="s">
        <v>40</v>
      </c>
      <c r="F87" s="59" t="s">
        <v>1910</v>
      </c>
      <c r="G87" t="s">
        <v>82</v>
      </c>
      <c r="H87" t="s">
        <v>33</v>
      </c>
      <c r="I87" s="59">
        <v>0</v>
      </c>
      <c r="J87" s="180" t="s">
        <v>31</v>
      </c>
      <c r="K87" s="180" t="s">
        <v>31</v>
      </c>
      <c r="L87" s="180" t="s">
        <v>31</v>
      </c>
      <c r="M87" s="180" t="s">
        <v>31</v>
      </c>
      <c r="N87" s="180" t="s">
        <v>31</v>
      </c>
      <c r="O87" s="180" t="s">
        <v>1573</v>
      </c>
      <c r="P87" s="180" t="s">
        <v>1882</v>
      </c>
    </row>
    <row r="88" spans="1:16" ht="15.6">
      <c r="A88" t="s">
        <v>38</v>
      </c>
      <c r="B88">
        <f>B89*0.277777777</f>
        <v>2.415277771015</v>
      </c>
      <c r="D88" t="s">
        <v>39</v>
      </c>
      <c r="E88" s="188" t="s">
        <v>40</v>
      </c>
      <c r="F88" s="59" t="s">
        <v>1910</v>
      </c>
      <c r="G88" t="s">
        <v>59</v>
      </c>
      <c r="H88" s="59" t="s">
        <v>136</v>
      </c>
      <c r="I88" s="59">
        <v>0</v>
      </c>
      <c r="J88" s="180" t="s">
        <v>31</v>
      </c>
      <c r="K88" s="180" t="s">
        <v>31</v>
      </c>
      <c r="L88" s="180" t="s">
        <v>31</v>
      </c>
      <c r="M88" s="180" t="s">
        <v>31</v>
      </c>
      <c r="N88" s="180" t="s">
        <v>31</v>
      </c>
      <c r="O88" t="s">
        <v>1883</v>
      </c>
    </row>
    <row r="89" spans="1:16" ht="15.6">
      <c r="A89" t="s">
        <v>70</v>
      </c>
      <c r="B89">
        <f>-B87*0.5*34.78</f>
        <v>8.6950000000000003</v>
      </c>
      <c r="D89" t="s">
        <v>71</v>
      </c>
      <c r="E89" s="188" t="s">
        <v>40</v>
      </c>
      <c r="F89" s="59" t="s">
        <v>1910</v>
      </c>
      <c r="G89" t="s">
        <v>59</v>
      </c>
      <c r="H89" s="59" t="s">
        <v>136</v>
      </c>
      <c r="I89" s="59">
        <v>0</v>
      </c>
      <c r="J89" s="180" t="s">
        <v>31</v>
      </c>
      <c r="K89" s="180" t="s">
        <v>31</v>
      </c>
      <c r="L89" s="180" t="s">
        <v>31</v>
      </c>
      <c r="M89" s="180" t="s">
        <v>31</v>
      </c>
      <c r="N89" s="180" t="s">
        <v>31</v>
      </c>
      <c r="O89" t="s">
        <v>1915</v>
      </c>
    </row>
    <row r="90" spans="1:16" ht="15.6">
      <c r="A90" s="88" t="s">
        <v>1885</v>
      </c>
      <c r="B90">
        <v>-0.5</v>
      </c>
      <c r="D90" t="s">
        <v>37</v>
      </c>
      <c r="E90" s="188" t="s">
        <v>40</v>
      </c>
      <c r="F90" s="59" t="s">
        <v>1910</v>
      </c>
      <c r="G90" t="s">
        <v>82</v>
      </c>
      <c r="H90" s="59" t="s">
        <v>33</v>
      </c>
      <c r="I90" s="59">
        <v>0</v>
      </c>
      <c r="J90" s="180" t="s">
        <v>31</v>
      </c>
      <c r="K90" s="180" t="s">
        <v>31</v>
      </c>
      <c r="L90" s="180" t="s">
        <v>31</v>
      </c>
      <c r="M90" s="180" t="s">
        <v>31</v>
      </c>
      <c r="N90" s="180" t="s">
        <v>31</v>
      </c>
      <c r="O90" s="180"/>
    </row>
    <row r="91" spans="1:16" s="70" customFormat="1" ht="15.6">
      <c r="A91" s="178" t="s">
        <v>5</v>
      </c>
      <c r="B91" s="178" t="s">
        <v>1930</v>
      </c>
      <c r="C91" s="178"/>
      <c r="D91" s="69"/>
      <c r="E91" s="144"/>
      <c r="F91" s="144"/>
      <c r="G91" s="144"/>
      <c r="H91" s="144"/>
      <c r="I91" s="144"/>
      <c r="J91" s="144"/>
      <c r="K91" s="144"/>
      <c r="L91" s="144"/>
      <c r="M91" s="144"/>
      <c r="N91" s="144"/>
      <c r="O91" s="144"/>
      <c r="P91" s="144"/>
    </row>
    <row r="92" spans="1:16">
      <c r="A92" s="59" t="s">
        <v>7</v>
      </c>
      <c r="B92" s="59" t="s">
        <v>1873</v>
      </c>
      <c r="C92" s="59"/>
      <c r="D92" s="59"/>
      <c r="E92" s="59"/>
      <c r="F92" s="59"/>
      <c r="G92" s="59"/>
      <c r="H92" s="59"/>
      <c r="I92" s="59"/>
      <c r="J92" s="59"/>
      <c r="K92" s="59"/>
      <c r="L92" s="59"/>
      <c r="M92" s="59"/>
      <c r="N92" s="59"/>
      <c r="O92" s="59"/>
      <c r="P92" s="59"/>
    </row>
    <row r="93" spans="1:16">
      <c r="A93" s="59" t="s">
        <v>9</v>
      </c>
      <c r="B93" s="59" t="s">
        <v>1931</v>
      </c>
      <c r="C93" s="59"/>
      <c r="D93" s="59"/>
      <c r="E93" s="59"/>
      <c r="F93" s="59"/>
      <c r="G93" s="59"/>
      <c r="H93" s="59"/>
      <c r="I93" s="59"/>
      <c r="J93" s="59"/>
      <c r="K93" s="59"/>
      <c r="L93" s="59"/>
      <c r="M93" s="59"/>
      <c r="N93" s="59"/>
      <c r="O93" s="59"/>
      <c r="P93" s="59"/>
    </row>
    <row r="94" spans="1:16">
      <c r="A94" s="59" t="s">
        <v>11</v>
      </c>
      <c r="B94" s="59" t="s">
        <v>1909</v>
      </c>
      <c r="C94" s="59"/>
      <c r="D94" s="59"/>
      <c r="E94" s="59"/>
      <c r="F94" s="59"/>
      <c r="G94" s="59"/>
      <c r="H94" s="59"/>
      <c r="I94" s="59"/>
      <c r="J94" s="59"/>
      <c r="K94" s="59"/>
      <c r="L94" s="59"/>
      <c r="M94" s="59"/>
      <c r="N94" s="59"/>
      <c r="O94" s="59"/>
      <c r="P94" s="59"/>
    </row>
    <row r="95" spans="1:16">
      <c r="A95" s="59" t="s">
        <v>13</v>
      </c>
      <c r="B95" s="59" t="s">
        <v>59</v>
      </c>
      <c r="C95" s="59"/>
      <c r="D95" s="59"/>
      <c r="E95" s="59"/>
      <c r="F95" s="59"/>
      <c r="G95" s="59"/>
      <c r="H95" s="59"/>
      <c r="I95" s="59"/>
      <c r="J95" s="59"/>
      <c r="K95" s="59"/>
      <c r="L95" s="59"/>
      <c r="M95" s="59"/>
      <c r="N95" s="59"/>
      <c r="O95" s="59"/>
      <c r="P95" s="59"/>
    </row>
    <row r="96" spans="1:16">
      <c r="A96" s="59" t="s">
        <v>15</v>
      </c>
      <c r="B96" s="59">
        <v>1</v>
      </c>
      <c r="C96" s="59"/>
      <c r="D96" s="59"/>
      <c r="E96" s="59"/>
      <c r="F96" s="59"/>
      <c r="G96" s="59"/>
      <c r="H96" s="59"/>
      <c r="I96" s="59"/>
      <c r="J96" s="59"/>
      <c r="K96" s="59"/>
      <c r="L96" s="59"/>
      <c r="M96" s="59"/>
      <c r="N96" s="59"/>
      <c r="O96" s="59"/>
      <c r="P96" s="59"/>
    </row>
    <row r="97" spans="1:16">
      <c r="A97" s="59" t="s">
        <v>16</v>
      </c>
      <c r="B97" s="59" t="s">
        <v>17</v>
      </c>
      <c r="C97" s="59"/>
      <c r="D97" s="59"/>
      <c r="E97" s="59"/>
      <c r="F97" s="59"/>
      <c r="G97" s="59"/>
      <c r="H97" s="59"/>
      <c r="I97" s="59"/>
      <c r="J97" s="59"/>
      <c r="K97" s="59"/>
      <c r="L97" s="59"/>
      <c r="M97" s="59"/>
      <c r="N97" s="59"/>
      <c r="O97" s="59"/>
      <c r="P97" s="59"/>
    </row>
    <row r="98" spans="1:16" ht="15.6">
      <c r="A98" s="59" t="s">
        <v>18</v>
      </c>
      <c r="B98" s="180" t="s">
        <v>37</v>
      </c>
      <c r="C98" s="59"/>
      <c r="D98" s="59"/>
      <c r="E98" s="59" t="s">
        <v>235</v>
      </c>
      <c r="F98" s="59"/>
      <c r="G98" s="59"/>
      <c r="H98" s="59"/>
      <c r="I98" s="59"/>
      <c r="J98" s="59"/>
      <c r="K98" s="59"/>
      <c r="L98" s="59"/>
      <c r="M98" s="59"/>
      <c r="N98" s="59"/>
      <c r="O98" s="59"/>
      <c r="P98" s="59"/>
    </row>
    <row r="99" spans="1:16" ht="15.6">
      <c r="A99" s="181" t="s">
        <v>19</v>
      </c>
      <c r="B99" s="59"/>
      <c r="C99" s="59"/>
      <c r="D99" s="59"/>
      <c r="E99" s="59"/>
      <c r="F99" s="59"/>
      <c r="G99" s="59"/>
      <c r="H99" s="59"/>
      <c r="I99" s="59"/>
      <c r="J99" s="59"/>
      <c r="K99" s="59"/>
      <c r="L99" s="59"/>
      <c r="M99" s="59"/>
      <c r="N99" s="59"/>
      <c r="O99" s="59"/>
      <c r="P99" s="59"/>
    </row>
    <row r="100" spans="1:16" ht="15.6">
      <c r="A100" s="181" t="s">
        <v>20</v>
      </c>
      <c r="B100" s="181" t="s">
        <v>21</v>
      </c>
      <c r="C100" s="181" t="s">
        <v>217</v>
      </c>
      <c r="D100" s="181" t="s">
        <v>18</v>
      </c>
      <c r="E100" s="181" t="s">
        <v>22</v>
      </c>
      <c r="F100" s="181" t="s">
        <v>7</v>
      </c>
      <c r="G100" s="181" t="s">
        <v>13</v>
      </c>
      <c r="H100" s="181" t="s">
        <v>16</v>
      </c>
      <c r="I100" s="181" t="s">
        <v>23</v>
      </c>
      <c r="J100" s="181" t="s">
        <v>24</v>
      </c>
      <c r="K100" s="181" t="s">
        <v>25</v>
      </c>
      <c r="L100" s="181" t="s">
        <v>26</v>
      </c>
      <c r="M100" s="181" t="s">
        <v>27</v>
      </c>
      <c r="N100" s="181" t="s">
        <v>28</v>
      </c>
      <c r="O100" s="181" t="s">
        <v>11</v>
      </c>
      <c r="P100" s="181" t="s">
        <v>702</v>
      </c>
    </row>
    <row r="101" spans="1:16" ht="15.6">
      <c r="A101" s="180" t="str">
        <f>B91</f>
        <v>treatment of aluminium, fuselage, airframe, PEMFC-bat, Long-Term</v>
      </c>
      <c r="B101" s="180">
        <v>1</v>
      </c>
      <c r="C101" s="180"/>
      <c r="D101" s="180" t="s">
        <v>37</v>
      </c>
      <c r="E101" s="59" t="s">
        <v>2</v>
      </c>
      <c r="F101" s="59" t="s">
        <v>1910</v>
      </c>
      <c r="G101" s="180" t="s">
        <v>59</v>
      </c>
      <c r="H101" s="59" t="s">
        <v>30</v>
      </c>
      <c r="I101" s="59">
        <v>0</v>
      </c>
      <c r="J101" s="180" t="s">
        <v>31</v>
      </c>
      <c r="K101" s="180" t="s">
        <v>31</v>
      </c>
      <c r="L101" s="180" t="s">
        <v>31</v>
      </c>
      <c r="M101" s="180" t="s">
        <v>31</v>
      </c>
      <c r="N101" s="180" t="s">
        <v>31</v>
      </c>
      <c r="O101" s="180" t="s">
        <v>1932</v>
      </c>
      <c r="P101" s="59"/>
    </row>
    <row r="102" spans="1:16" ht="15.6">
      <c r="A102" t="s">
        <v>263</v>
      </c>
      <c r="B102" s="23">
        <v>0.85</v>
      </c>
      <c r="C102" s="180"/>
      <c r="D102" s="180" t="s">
        <v>37</v>
      </c>
      <c r="E102" s="37" t="s">
        <v>40</v>
      </c>
      <c r="F102" s="59" t="s">
        <v>1910</v>
      </c>
      <c r="G102" s="180" t="s">
        <v>82</v>
      </c>
      <c r="H102" s="59" t="s">
        <v>33</v>
      </c>
      <c r="I102" s="59">
        <v>0</v>
      </c>
      <c r="J102" s="180" t="s">
        <v>31</v>
      </c>
      <c r="K102" s="180" t="s">
        <v>31</v>
      </c>
      <c r="L102" s="180" t="s">
        <v>31</v>
      </c>
      <c r="M102" s="180" t="s">
        <v>31</v>
      </c>
      <c r="N102" s="180" t="s">
        <v>31</v>
      </c>
      <c r="O102" s="59"/>
      <c r="P102" s="59"/>
    </row>
    <row r="103" spans="1:16" ht="15.6">
      <c r="A103" t="s">
        <v>265</v>
      </c>
      <c r="B103" s="23">
        <v>0.85</v>
      </c>
      <c r="C103" s="22" t="s">
        <v>266</v>
      </c>
      <c r="D103" t="s">
        <v>37</v>
      </c>
      <c r="E103" s="188" t="s">
        <v>40</v>
      </c>
      <c r="F103" s="59" t="s">
        <v>1910</v>
      </c>
      <c r="G103" s="180" t="s">
        <v>82</v>
      </c>
      <c r="H103" s="59" t="s">
        <v>33</v>
      </c>
      <c r="I103" s="59">
        <v>0</v>
      </c>
      <c r="J103" s="180" t="s">
        <v>31</v>
      </c>
      <c r="K103" s="180" t="s">
        <v>31</v>
      </c>
      <c r="L103" s="180" t="s">
        <v>31</v>
      </c>
      <c r="M103" s="180" t="s">
        <v>31</v>
      </c>
      <c r="N103" s="180" t="s">
        <v>31</v>
      </c>
      <c r="O103" s="180" t="s">
        <v>1367</v>
      </c>
    </row>
    <row r="104" spans="1:16" ht="15.6">
      <c r="A104" t="s">
        <v>347</v>
      </c>
      <c r="B104" s="23">
        <f>B103*0.9</f>
        <v>0.76500000000000001</v>
      </c>
      <c r="D104" t="s">
        <v>37</v>
      </c>
      <c r="E104" s="188" t="s">
        <v>40</v>
      </c>
      <c r="F104" s="59" t="s">
        <v>1910</v>
      </c>
      <c r="G104" t="s">
        <v>59</v>
      </c>
      <c r="H104" s="59" t="s">
        <v>136</v>
      </c>
      <c r="I104" s="59">
        <v>0</v>
      </c>
      <c r="J104" s="180" t="s">
        <v>31</v>
      </c>
      <c r="K104" s="180" t="s">
        <v>31</v>
      </c>
      <c r="L104" s="180" t="s">
        <v>31</v>
      </c>
      <c r="M104" s="180" t="s">
        <v>31</v>
      </c>
      <c r="N104" s="180" t="s">
        <v>31</v>
      </c>
      <c r="O104" s="59"/>
      <c r="P104" s="180" t="s">
        <v>1368</v>
      </c>
    </row>
    <row r="105" spans="1:16" ht="15.6">
      <c r="A105" t="s">
        <v>403</v>
      </c>
      <c r="B105" s="23">
        <f>-(1-B104)</f>
        <v>-0.23499999999999999</v>
      </c>
      <c r="D105" t="s">
        <v>37</v>
      </c>
      <c r="E105" s="88" t="s">
        <v>40</v>
      </c>
      <c r="F105" s="59" t="s">
        <v>1910</v>
      </c>
      <c r="G105" t="s">
        <v>59</v>
      </c>
      <c r="H105" t="s">
        <v>33</v>
      </c>
      <c r="I105">
        <v>0</v>
      </c>
      <c r="J105" t="s">
        <v>31</v>
      </c>
      <c r="K105" t="s">
        <v>31</v>
      </c>
      <c r="L105" t="s">
        <v>31</v>
      </c>
      <c r="M105" t="s">
        <v>31</v>
      </c>
      <c r="N105" t="s">
        <v>31</v>
      </c>
      <c r="O105" s="17"/>
      <c r="P105" s="59"/>
    </row>
    <row r="106" spans="1:16" s="70" customFormat="1" ht="15.6">
      <c r="A106" s="178" t="s">
        <v>5</v>
      </c>
      <c r="B106" s="178" t="s">
        <v>1933</v>
      </c>
      <c r="C106" s="178"/>
      <c r="D106" s="69"/>
      <c r="E106" s="144"/>
      <c r="F106" s="144"/>
      <c r="G106" s="144"/>
      <c r="H106" s="144"/>
      <c r="I106" s="144"/>
      <c r="J106" s="144"/>
      <c r="K106" s="144"/>
      <c r="L106" s="144"/>
      <c r="M106" s="144"/>
      <c r="N106" s="144"/>
      <c r="O106" s="144"/>
      <c r="P106" s="144"/>
    </row>
    <row r="107" spans="1:16">
      <c r="A107" s="59" t="s">
        <v>7</v>
      </c>
      <c r="B107" s="59" t="s">
        <v>1873</v>
      </c>
      <c r="C107" s="59"/>
      <c r="D107" s="59"/>
      <c r="E107" s="59"/>
      <c r="F107" s="59"/>
      <c r="G107" s="59"/>
      <c r="H107" s="59"/>
      <c r="I107" s="59"/>
      <c r="J107" s="59"/>
      <c r="K107" s="59"/>
      <c r="L107" s="59"/>
      <c r="M107" s="59"/>
      <c r="N107" s="59"/>
      <c r="O107" s="59"/>
      <c r="P107" s="59"/>
    </row>
    <row r="108" spans="1:16">
      <c r="A108" s="59" t="s">
        <v>9</v>
      </c>
      <c r="B108" s="59" t="s">
        <v>1934</v>
      </c>
      <c r="C108" s="59"/>
      <c r="D108" s="59"/>
      <c r="E108" s="59"/>
      <c r="F108" s="59"/>
      <c r="G108" s="59"/>
      <c r="H108" s="59"/>
      <c r="I108" s="59"/>
      <c r="J108" s="59"/>
      <c r="K108" s="59"/>
      <c r="L108" s="59"/>
      <c r="M108" s="59"/>
      <c r="N108" s="59"/>
      <c r="O108" s="59"/>
      <c r="P108" s="59"/>
    </row>
    <row r="109" spans="1:16">
      <c r="A109" s="59" t="s">
        <v>11</v>
      </c>
      <c r="B109" s="59" t="s">
        <v>1909</v>
      </c>
      <c r="C109" s="59"/>
      <c r="D109" s="59"/>
      <c r="E109" s="59"/>
      <c r="F109" s="59"/>
      <c r="G109" s="59"/>
      <c r="H109" s="59"/>
      <c r="I109" s="59"/>
      <c r="J109" s="59"/>
      <c r="K109" s="59"/>
      <c r="L109" s="59"/>
      <c r="M109" s="59"/>
      <c r="N109" s="59"/>
      <c r="O109" s="59"/>
      <c r="P109" s="59"/>
    </row>
    <row r="110" spans="1:16">
      <c r="A110" s="59" t="s">
        <v>13</v>
      </c>
      <c r="B110" s="59" t="s">
        <v>59</v>
      </c>
      <c r="C110" s="59"/>
      <c r="D110" s="59"/>
      <c r="E110" s="59"/>
      <c r="F110" s="59"/>
      <c r="G110" s="59"/>
      <c r="H110" s="59"/>
      <c r="I110" s="59"/>
      <c r="J110" s="59"/>
      <c r="K110" s="59"/>
      <c r="L110" s="59"/>
      <c r="M110" s="59"/>
      <c r="N110" s="59"/>
      <c r="O110" s="59"/>
      <c r="P110" s="59"/>
    </row>
    <row r="111" spans="1:16">
      <c r="A111" s="59" t="s">
        <v>15</v>
      </c>
      <c r="B111" s="59">
        <v>1</v>
      </c>
      <c r="C111" s="59"/>
      <c r="D111" s="59"/>
      <c r="E111" s="59"/>
      <c r="F111" s="59"/>
      <c r="G111" s="59"/>
      <c r="H111" s="59"/>
      <c r="I111" s="59"/>
      <c r="J111" s="59"/>
      <c r="K111" s="59"/>
      <c r="L111" s="59"/>
      <c r="M111" s="59"/>
      <c r="N111" s="59"/>
      <c r="O111" s="59"/>
      <c r="P111" s="59"/>
    </row>
    <row r="112" spans="1:16">
      <c r="A112" s="59" t="s">
        <v>16</v>
      </c>
      <c r="B112" s="59" t="s">
        <v>17</v>
      </c>
      <c r="C112" s="59"/>
      <c r="D112" s="59"/>
      <c r="E112" s="59"/>
      <c r="F112" s="59"/>
      <c r="G112" s="59"/>
      <c r="H112" s="59"/>
      <c r="I112" s="59"/>
      <c r="J112" s="59"/>
      <c r="K112" s="59"/>
      <c r="L112" s="59"/>
      <c r="M112" s="59"/>
      <c r="N112" s="59"/>
      <c r="O112" s="59"/>
      <c r="P112" s="59"/>
    </row>
    <row r="113" spans="1:16" ht="15.6">
      <c r="A113" s="59" t="s">
        <v>18</v>
      </c>
      <c r="B113" s="180" t="s">
        <v>37</v>
      </c>
      <c r="C113" s="59"/>
      <c r="D113" s="59"/>
      <c r="E113" s="59" t="s">
        <v>235</v>
      </c>
      <c r="F113" s="59"/>
      <c r="G113" s="59"/>
      <c r="H113" s="59"/>
      <c r="I113" s="59"/>
      <c r="J113" s="59"/>
      <c r="K113" s="59"/>
      <c r="L113" s="59"/>
      <c r="M113" s="59"/>
      <c r="N113" s="59"/>
      <c r="O113" s="59"/>
      <c r="P113" s="59"/>
    </row>
    <row r="114" spans="1:16" ht="15.6">
      <c r="A114" s="181" t="s">
        <v>19</v>
      </c>
      <c r="B114" s="59"/>
      <c r="C114" s="59"/>
      <c r="D114" s="59"/>
      <c r="E114" s="59"/>
      <c r="F114" s="59"/>
      <c r="G114" s="59"/>
      <c r="H114" s="59"/>
      <c r="I114" s="59"/>
      <c r="J114" s="59"/>
      <c r="K114" s="59"/>
      <c r="L114" s="59"/>
      <c r="M114" s="59"/>
      <c r="N114" s="59"/>
      <c r="O114" s="59"/>
      <c r="P114" s="59"/>
    </row>
    <row r="115" spans="1:16" ht="15.6">
      <c r="A115" s="181" t="s">
        <v>20</v>
      </c>
      <c r="B115" s="181" t="s">
        <v>21</v>
      </c>
      <c r="C115" s="181" t="s">
        <v>217</v>
      </c>
      <c r="D115" s="181" t="s">
        <v>18</v>
      </c>
      <c r="E115" s="181" t="s">
        <v>22</v>
      </c>
      <c r="F115" s="181" t="s">
        <v>7</v>
      </c>
      <c r="G115" s="181" t="s">
        <v>13</v>
      </c>
      <c r="H115" s="181" t="s">
        <v>16</v>
      </c>
      <c r="I115" s="181" t="s">
        <v>23</v>
      </c>
      <c r="J115" s="181" t="s">
        <v>24</v>
      </c>
      <c r="K115" s="181" t="s">
        <v>25</v>
      </c>
      <c r="L115" s="181" t="s">
        <v>26</v>
      </c>
      <c r="M115" s="181" t="s">
        <v>27</v>
      </c>
      <c r="N115" s="181" t="s">
        <v>28</v>
      </c>
      <c r="O115" s="181" t="s">
        <v>11</v>
      </c>
      <c r="P115" s="181" t="s">
        <v>702</v>
      </c>
    </row>
    <row r="116" spans="1:16" ht="15.6">
      <c r="A116" s="180" t="str">
        <f>B106</f>
        <v>treatment of composites, fuselage, airframe, PEMFC-bat, Long-Term</v>
      </c>
      <c r="B116" s="180">
        <v>1</v>
      </c>
      <c r="C116" s="180"/>
      <c r="D116" s="180" t="s">
        <v>37</v>
      </c>
      <c r="E116" s="59" t="s">
        <v>2</v>
      </c>
      <c r="F116" s="59" t="s">
        <v>1910</v>
      </c>
      <c r="G116" s="180" t="s">
        <v>59</v>
      </c>
      <c r="H116" s="59" t="s">
        <v>30</v>
      </c>
      <c r="I116" s="59">
        <v>0</v>
      </c>
      <c r="J116" s="180" t="s">
        <v>31</v>
      </c>
      <c r="K116" s="180" t="s">
        <v>31</v>
      </c>
      <c r="L116" s="180" t="s">
        <v>31</v>
      </c>
      <c r="M116" s="180" t="s">
        <v>31</v>
      </c>
      <c r="N116" s="180" t="s">
        <v>31</v>
      </c>
      <c r="O116" s="180" t="s">
        <v>1381</v>
      </c>
      <c r="P116" s="59"/>
    </row>
    <row r="117" spans="1:16" ht="15.6">
      <c r="A117" s="88" t="s">
        <v>572</v>
      </c>
      <c r="B117">
        <v>-0.5</v>
      </c>
      <c r="D117" t="s">
        <v>37</v>
      </c>
      <c r="E117" s="188" t="s">
        <v>40</v>
      </c>
      <c r="F117" s="59" t="s">
        <v>1910</v>
      </c>
      <c r="G117" t="s">
        <v>82</v>
      </c>
      <c r="H117" t="s">
        <v>33</v>
      </c>
      <c r="I117" s="59">
        <v>0</v>
      </c>
      <c r="J117" s="180" t="s">
        <v>31</v>
      </c>
      <c r="K117" s="180" t="s">
        <v>31</v>
      </c>
      <c r="L117" s="180" t="s">
        <v>31</v>
      </c>
      <c r="M117" s="180" t="s">
        <v>31</v>
      </c>
      <c r="N117" s="180" t="s">
        <v>31</v>
      </c>
      <c r="O117" s="180" t="s">
        <v>1573</v>
      </c>
      <c r="P117" s="180" t="s">
        <v>1882</v>
      </c>
    </row>
    <row r="118" spans="1:16" ht="15.6">
      <c r="A118" t="s">
        <v>38</v>
      </c>
      <c r="B118">
        <f>B119*0.277777777</f>
        <v>2.415277771015</v>
      </c>
      <c r="D118" t="s">
        <v>39</v>
      </c>
      <c r="E118" s="188" t="s">
        <v>40</v>
      </c>
      <c r="F118" s="59" t="s">
        <v>1910</v>
      </c>
      <c r="G118" t="s">
        <v>59</v>
      </c>
      <c r="H118" s="59" t="s">
        <v>136</v>
      </c>
      <c r="I118" s="59">
        <v>0</v>
      </c>
      <c r="J118" s="180" t="s">
        <v>31</v>
      </c>
      <c r="K118" s="180" t="s">
        <v>31</v>
      </c>
      <c r="L118" s="180" t="s">
        <v>31</v>
      </c>
      <c r="M118" s="180" t="s">
        <v>31</v>
      </c>
      <c r="N118" s="180" t="s">
        <v>31</v>
      </c>
      <c r="O118" t="s">
        <v>1883</v>
      </c>
    </row>
    <row r="119" spans="1:16" ht="15.6">
      <c r="A119" t="s">
        <v>70</v>
      </c>
      <c r="B119">
        <f>-B117*0.5*34.78</f>
        <v>8.6950000000000003</v>
      </c>
      <c r="D119" t="s">
        <v>71</v>
      </c>
      <c r="E119" s="188" t="s">
        <v>40</v>
      </c>
      <c r="F119" s="59" t="s">
        <v>1910</v>
      </c>
      <c r="G119" t="s">
        <v>59</v>
      </c>
      <c r="H119" s="59" t="s">
        <v>136</v>
      </c>
      <c r="I119" s="59">
        <v>0</v>
      </c>
      <c r="J119" s="180" t="s">
        <v>31</v>
      </c>
      <c r="K119" s="180" t="s">
        <v>31</v>
      </c>
      <c r="L119" s="180" t="s">
        <v>31</v>
      </c>
      <c r="M119" s="180" t="s">
        <v>31</v>
      </c>
      <c r="N119" s="180" t="s">
        <v>31</v>
      </c>
      <c r="O119" t="s">
        <v>1915</v>
      </c>
    </row>
    <row r="120" spans="1:16" ht="15.6">
      <c r="A120" s="88" t="s">
        <v>1885</v>
      </c>
      <c r="B120">
        <v>-0.5</v>
      </c>
      <c r="D120" t="s">
        <v>37</v>
      </c>
      <c r="E120" s="188" t="s">
        <v>40</v>
      </c>
      <c r="F120" s="59" t="s">
        <v>1910</v>
      </c>
      <c r="G120" t="s">
        <v>82</v>
      </c>
      <c r="H120" s="59" t="s">
        <v>33</v>
      </c>
      <c r="I120" s="59">
        <v>0</v>
      </c>
      <c r="J120" s="180" t="s">
        <v>31</v>
      </c>
      <c r="K120" s="180" t="s">
        <v>31</v>
      </c>
      <c r="L120" s="180" t="s">
        <v>31</v>
      </c>
      <c r="M120" s="180" t="s">
        <v>31</v>
      </c>
      <c r="N120" s="180" t="s">
        <v>31</v>
      </c>
      <c r="O120" s="180"/>
    </row>
    <row r="121" spans="1:16" s="70" customFormat="1" ht="15.6">
      <c r="A121" s="178" t="s">
        <v>5</v>
      </c>
      <c r="B121" s="178" t="s">
        <v>1935</v>
      </c>
      <c r="C121" s="178"/>
      <c r="D121" s="69"/>
      <c r="E121" s="144"/>
      <c r="F121" s="144"/>
      <c r="G121" s="144"/>
      <c r="H121" s="144"/>
      <c r="I121" s="144"/>
      <c r="J121" s="144"/>
      <c r="K121" s="144"/>
      <c r="L121" s="144"/>
      <c r="M121" s="144"/>
      <c r="N121" s="144"/>
      <c r="O121" s="144"/>
      <c r="P121" s="144"/>
    </row>
    <row r="122" spans="1:16">
      <c r="A122" s="59" t="s">
        <v>7</v>
      </c>
      <c r="B122" s="59" t="s">
        <v>1873</v>
      </c>
      <c r="C122" s="59"/>
      <c r="D122" s="59"/>
      <c r="E122" s="59"/>
      <c r="F122" s="59"/>
      <c r="G122" s="59"/>
      <c r="H122" s="59"/>
      <c r="I122" s="59"/>
      <c r="J122" s="59"/>
      <c r="K122" s="59"/>
      <c r="L122" s="59"/>
      <c r="M122" s="59"/>
      <c r="N122" s="59"/>
      <c r="O122" s="59"/>
      <c r="P122" s="59"/>
    </row>
    <row r="123" spans="1:16">
      <c r="A123" s="59" t="s">
        <v>9</v>
      </c>
      <c r="B123" s="59" t="s">
        <v>1936</v>
      </c>
      <c r="C123" s="59"/>
      <c r="D123" s="59"/>
      <c r="E123" s="59"/>
      <c r="F123" s="59"/>
      <c r="G123" s="59"/>
      <c r="H123" s="59"/>
      <c r="I123" s="59"/>
      <c r="J123" s="59"/>
      <c r="K123" s="59"/>
      <c r="L123" s="59"/>
      <c r="M123" s="59"/>
      <c r="N123" s="59"/>
      <c r="O123" s="59"/>
      <c r="P123" s="59"/>
    </row>
    <row r="124" spans="1:16">
      <c r="A124" s="59" t="s">
        <v>11</v>
      </c>
      <c r="B124" s="59" t="s">
        <v>1909</v>
      </c>
      <c r="C124" s="59"/>
      <c r="D124" s="59"/>
      <c r="E124" s="59"/>
      <c r="F124" s="59"/>
      <c r="G124" s="59"/>
      <c r="H124" s="59"/>
      <c r="I124" s="59"/>
      <c r="J124" s="59"/>
      <c r="K124" s="59"/>
      <c r="L124" s="59"/>
      <c r="M124" s="59"/>
      <c r="N124" s="59"/>
      <c r="O124" s="59"/>
      <c r="P124" s="59"/>
    </row>
    <row r="125" spans="1:16">
      <c r="A125" s="59" t="s">
        <v>13</v>
      </c>
      <c r="B125" s="59" t="s">
        <v>59</v>
      </c>
      <c r="C125" s="59"/>
      <c r="D125" s="59"/>
      <c r="E125" s="59"/>
      <c r="F125" s="59"/>
      <c r="G125" s="59"/>
      <c r="H125" s="59"/>
      <c r="I125" s="59"/>
      <c r="J125" s="59"/>
      <c r="K125" s="59"/>
      <c r="L125" s="59"/>
      <c r="M125" s="59"/>
      <c r="N125" s="59"/>
      <c r="O125" s="59"/>
      <c r="P125" s="59"/>
    </row>
    <row r="126" spans="1:16">
      <c r="A126" s="59" t="s">
        <v>15</v>
      </c>
      <c r="B126" s="59">
        <v>1</v>
      </c>
      <c r="C126" s="59"/>
      <c r="D126" s="59"/>
      <c r="E126" s="59"/>
      <c r="F126" s="59"/>
      <c r="G126" s="59"/>
      <c r="H126" s="59"/>
      <c r="I126" s="59"/>
      <c r="J126" s="59"/>
      <c r="K126" s="59"/>
      <c r="L126" s="59"/>
      <c r="M126" s="59"/>
      <c r="N126" s="59"/>
      <c r="O126" s="59"/>
      <c r="P126" s="59"/>
    </row>
    <row r="127" spans="1:16">
      <c r="A127" s="59" t="s">
        <v>16</v>
      </c>
      <c r="B127" s="59" t="s">
        <v>17</v>
      </c>
      <c r="C127" s="59"/>
      <c r="D127" s="59"/>
      <c r="E127" s="59"/>
      <c r="F127" s="59"/>
      <c r="G127" s="59"/>
      <c r="H127" s="59"/>
      <c r="I127" s="59"/>
      <c r="J127" s="59"/>
      <c r="K127" s="59"/>
      <c r="L127" s="59"/>
      <c r="M127" s="59"/>
      <c r="N127" s="59"/>
      <c r="O127" s="59"/>
      <c r="P127" s="59"/>
    </row>
    <row r="128" spans="1:16" ht="15.6">
      <c r="A128" s="59" t="s">
        <v>18</v>
      </c>
      <c r="B128" s="180" t="s">
        <v>37</v>
      </c>
      <c r="C128" s="59"/>
      <c r="D128" s="59"/>
      <c r="E128" s="59" t="s">
        <v>235</v>
      </c>
      <c r="F128" s="59"/>
      <c r="G128" s="59"/>
      <c r="H128" s="59"/>
      <c r="I128" s="59"/>
      <c r="J128" s="59"/>
      <c r="K128" s="59"/>
      <c r="L128" s="59"/>
      <c r="M128" s="59"/>
      <c r="N128" s="59"/>
      <c r="O128" s="59"/>
      <c r="P128" s="59"/>
    </row>
    <row r="129" spans="1:16" ht="15.6">
      <c r="A129" s="181" t="s">
        <v>19</v>
      </c>
      <c r="B129" s="59"/>
      <c r="C129" s="59"/>
      <c r="D129" s="59"/>
      <c r="E129" s="59"/>
      <c r="F129" s="59"/>
      <c r="G129" s="59"/>
      <c r="H129" s="59"/>
      <c r="I129" s="59"/>
      <c r="J129" s="59"/>
      <c r="K129" s="59"/>
      <c r="L129" s="59"/>
      <c r="M129" s="59"/>
      <c r="N129" s="59"/>
      <c r="O129" s="59"/>
      <c r="P129" s="59"/>
    </row>
    <row r="130" spans="1:16" ht="15.6">
      <c r="A130" s="181" t="s">
        <v>20</v>
      </c>
      <c r="B130" s="181" t="s">
        <v>21</v>
      </c>
      <c r="C130" s="181" t="s">
        <v>217</v>
      </c>
      <c r="D130" s="181" t="s">
        <v>18</v>
      </c>
      <c r="E130" s="181" t="s">
        <v>22</v>
      </c>
      <c r="F130" s="181" t="s">
        <v>7</v>
      </c>
      <c r="G130" s="181" t="s">
        <v>13</v>
      </c>
      <c r="H130" s="181" t="s">
        <v>16</v>
      </c>
      <c r="I130" s="181" t="s">
        <v>23</v>
      </c>
      <c r="J130" s="181" t="s">
        <v>24</v>
      </c>
      <c r="K130" s="181" t="s">
        <v>25</v>
      </c>
      <c r="L130" s="181" t="s">
        <v>26</v>
      </c>
      <c r="M130" s="181" t="s">
        <v>27</v>
      </c>
      <c r="N130" s="181" t="s">
        <v>28</v>
      </c>
      <c r="O130" s="181" t="s">
        <v>11</v>
      </c>
      <c r="P130" s="181" t="s">
        <v>702</v>
      </c>
    </row>
    <row r="131" spans="1:16" ht="15.6">
      <c r="A131" s="180" t="str">
        <f>B121</f>
        <v>treatment of steel, fuselage, airframe, PEMFC-bat, Long-Term</v>
      </c>
      <c r="B131" s="180">
        <v>1</v>
      </c>
      <c r="C131" s="180"/>
      <c r="D131" s="180" t="s">
        <v>37</v>
      </c>
      <c r="E131" s="59" t="s">
        <v>2</v>
      </c>
      <c r="F131" s="59" t="s">
        <v>1910</v>
      </c>
      <c r="G131" s="180" t="s">
        <v>59</v>
      </c>
      <c r="H131" s="59" t="s">
        <v>30</v>
      </c>
      <c r="I131" s="59">
        <v>0</v>
      </c>
      <c r="J131" s="180" t="s">
        <v>31</v>
      </c>
      <c r="K131" s="180" t="s">
        <v>31</v>
      </c>
      <c r="L131" s="180" t="s">
        <v>31</v>
      </c>
      <c r="M131" s="180" t="s">
        <v>31</v>
      </c>
      <c r="N131" s="180" t="s">
        <v>31</v>
      </c>
      <c r="O131" s="180" t="s">
        <v>1376</v>
      </c>
      <c r="P131" s="59"/>
    </row>
    <row r="132" spans="1:16" ht="15.6">
      <c r="A132" t="s">
        <v>135</v>
      </c>
      <c r="B132" s="23">
        <v>0.85</v>
      </c>
      <c r="C132" s="180"/>
      <c r="D132" s="180" t="s">
        <v>37</v>
      </c>
      <c r="E132" s="88" t="s">
        <v>40</v>
      </c>
      <c r="F132" s="59" t="s">
        <v>1910</v>
      </c>
      <c r="G132" s="180" t="s">
        <v>82</v>
      </c>
      <c r="H132" s="59" t="s">
        <v>33</v>
      </c>
      <c r="I132" s="59">
        <v>0</v>
      </c>
      <c r="J132" s="180" t="s">
        <v>31</v>
      </c>
      <c r="K132" s="180" t="s">
        <v>31</v>
      </c>
      <c r="L132" s="180" t="s">
        <v>31</v>
      </c>
      <c r="M132" s="180" t="s">
        <v>31</v>
      </c>
      <c r="N132" s="180" t="s">
        <v>31</v>
      </c>
      <c r="O132" s="59"/>
      <c r="P132" s="59"/>
    </row>
    <row r="133" spans="1:16" ht="15.6">
      <c r="A133" t="s">
        <v>703</v>
      </c>
      <c r="B133" s="23">
        <f>0.9*B132</f>
        <v>0.76500000000000001</v>
      </c>
      <c r="C133" s="180"/>
      <c r="D133" s="180" t="s">
        <v>37</v>
      </c>
      <c r="E133" s="88" t="s">
        <v>40</v>
      </c>
      <c r="F133" s="59" t="s">
        <v>1910</v>
      </c>
      <c r="G133" s="180" t="s">
        <v>59</v>
      </c>
      <c r="H133" s="59" t="s">
        <v>136</v>
      </c>
      <c r="I133" s="59">
        <v>0</v>
      </c>
      <c r="J133" s="180" t="s">
        <v>31</v>
      </c>
      <c r="K133" s="180" t="s">
        <v>31</v>
      </c>
      <c r="L133" s="180" t="s">
        <v>31</v>
      </c>
      <c r="M133" s="180" t="s">
        <v>31</v>
      </c>
      <c r="N133" s="180" t="s">
        <v>31</v>
      </c>
      <c r="O133" s="59"/>
      <c r="P133" s="59" t="s">
        <v>1373</v>
      </c>
    </row>
    <row r="134" spans="1:16" ht="16.5" customHeight="1">
      <c r="A134" t="s">
        <v>403</v>
      </c>
      <c r="B134" s="23">
        <f>-(1-B133)</f>
        <v>-0.23499999999999999</v>
      </c>
      <c r="D134" t="s">
        <v>37</v>
      </c>
      <c r="E134" s="88" t="s">
        <v>40</v>
      </c>
      <c r="F134" s="59" t="s">
        <v>1910</v>
      </c>
      <c r="G134" t="s">
        <v>59</v>
      </c>
      <c r="H134" t="s">
        <v>33</v>
      </c>
      <c r="I134">
        <v>0</v>
      </c>
      <c r="J134" t="s">
        <v>31</v>
      </c>
      <c r="K134" t="s">
        <v>31</v>
      </c>
      <c r="L134" t="s">
        <v>31</v>
      </c>
      <c r="M134" t="s">
        <v>31</v>
      </c>
      <c r="N134" t="s">
        <v>31</v>
      </c>
      <c r="O134" s="17"/>
      <c r="P134" s="59" t="s">
        <v>1377</v>
      </c>
    </row>
    <row r="135" spans="1:16" s="70" customFormat="1" ht="15.6">
      <c r="A135" s="178" t="s">
        <v>5</v>
      </c>
      <c r="B135" s="178" t="s">
        <v>1937</v>
      </c>
      <c r="C135" s="178"/>
      <c r="D135" s="69"/>
      <c r="E135" s="144"/>
      <c r="F135" s="144"/>
      <c r="G135" s="144"/>
      <c r="H135" s="144"/>
      <c r="I135" s="144"/>
      <c r="J135" s="144"/>
      <c r="K135" s="144"/>
      <c r="L135" s="144"/>
      <c r="M135" s="144"/>
      <c r="N135" s="144"/>
      <c r="O135" s="144"/>
      <c r="P135" s="144"/>
    </row>
    <row r="136" spans="1:16">
      <c r="A136" s="59" t="s">
        <v>7</v>
      </c>
      <c r="B136" s="59" t="s">
        <v>1873</v>
      </c>
      <c r="C136" s="59"/>
      <c r="D136" s="59"/>
      <c r="E136" s="59"/>
      <c r="F136" s="59"/>
      <c r="G136" s="59"/>
      <c r="H136" s="59"/>
      <c r="I136" s="59"/>
      <c r="J136" s="59"/>
      <c r="K136" s="59"/>
      <c r="L136" s="59"/>
      <c r="M136" s="59"/>
      <c r="N136" s="59"/>
      <c r="O136" s="59"/>
      <c r="P136" s="59"/>
    </row>
    <row r="137" spans="1:16">
      <c r="A137" s="59" t="s">
        <v>9</v>
      </c>
      <c r="B137" s="22" t="s">
        <v>1938</v>
      </c>
      <c r="C137" s="59"/>
      <c r="D137" s="59"/>
      <c r="E137" s="59"/>
      <c r="F137" s="59"/>
      <c r="G137" s="59"/>
      <c r="H137" s="59"/>
      <c r="I137" s="59"/>
      <c r="J137" s="59"/>
      <c r="K137" s="59"/>
      <c r="L137" s="59"/>
      <c r="M137" s="59"/>
      <c r="N137" s="59"/>
      <c r="O137" s="59"/>
      <c r="P137" s="59"/>
    </row>
    <row r="138" spans="1:16">
      <c r="A138" s="59" t="s">
        <v>11</v>
      </c>
      <c r="B138" s="59" t="s">
        <v>1909</v>
      </c>
      <c r="C138" s="59"/>
      <c r="D138" s="59"/>
      <c r="E138" s="59"/>
      <c r="F138" s="59"/>
      <c r="G138" s="59"/>
      <c r="H138" s="59"/>
      <c r="I138" s="59"/>
      <c r="J138" s="59"/>
      <c r="K138" s="59"/>
      <c r="L138" s="59"/>
      <c r="M138" s="59"/>
      <c r="N138" s="59"/>
      <c r="O138" s="59"/>
      <c r="P138" s="59"/>
    </row>
    <row r="139" spans="1:16">
      <c r="A139" s="59" t="s">
        <v>13</v>
      </c>
      <c r="B139" s="59" t="s">
        <v>59</v>
      </c>
      <c r="C139" s="59"/>
      <c r="D139" s="59"/>
      <c r="E139" s="59"/>
      <c r="F139" s="59"/>
      <c r="G139" s="59"/>
      <c r="H139" s="59"/>
      <c r="I139" s="59"/>
      <c r="J139" s="59"/>
      <c r="K139" s="59"/>
      <c r="L139" s="59"/>
      <c r="M139" s="59"/>
      <c r="N139" s="59"/>
      <c r="O139" s="59"/>
      <c r="P139" s="59"/>
    </row>
    <row r="140" spans="1:16">
      <c r="A140" s="59" t="s">
        <v>15</v>
      </c>
      <c r="B140" s="59">
        <v>1</v>
      </c>
      <c r="C140" s="59"/>
      <c r="D140" s="59"/>
      <c r="E140" s="59"/>
      <c r="F140" s="59"/>
      <c r="G140" s="59"/>
      <c r="H140" s="59"/>
      <c r="I140" s="59"/>
      <c r="J140" s="59"/>
      <c r="K140" s="59"/>
      <c r="L140" s="59"/>
      <c r="M140" s="59"/>
      <c r="N140" s="59"/>
      <c r="O140" s="59"/>
      <c r="P140" s="59"/>
    </row>
    <row r="141" spans="1:16">
      <c r="A141" s="59" t="s">
        <v>16</v>
      </c>
      <c r="B141" s="59" t="s">
        <v>17</v>
      </c>
      <c r="C141" s="59"/>
      <c r="D141" s="59"/>
      <c r="E141" s="59"/>
      <c r="F141" s="59"/>
      <c r="G141" s="59"/>
      <c r="H141" s="59"/>
      <c r="I141" s="59"/>
      <c r="J141" s="59"/>
      <c r="K141" s="59"/>
      <c r="L141" s="59"/>
      <c r="M141" s="59"/>
      <c r="N141" s="59"/>
      <c r="O141" s="59"/>
      <c r="P141" s="59"/>
    </row>
    <row r="142" spans="1:16" ht="15.6">
      <c r="A142" s="59" t="s">
        <v>18</v>
      </c>
      <c r="B142" s="180" t="s">
        <v>37</v>
      </c>
      <c r="C142" s="59"/>
      <c r="D142" s="59"/>
      <c r="E142" s="59" t="s">
        <v>235</v>
      </c>
      <c r="F142" s="59"/>
      <c r="G142" s="59"/>
      <c r="H142" s="59"/>
      <c r="I142" s="59"/>
      <c r="J142" s="59"/>
      <c r="K142" s="59"/>
      <c r="L142" s="59"/>
      <c r="M142" s="59"/>
      <c r="N142" s="59"/>
      <c r="O142" s="59"/>
      <c r="P142" s="59"/>
    </row>
    <row r="143" spans="1:16" ht="15.6">
      <c r="A143" s="181" t="s">
        <v>19</v>
      </c>
      <c r="B143" s="59"/>
      <c r="C143" s="59"/>
      <c r="D143" s="59"/>
      <c r="E143" s="59"/>
      <c r="F143" s="59"/>
      <c r="G143" s="59"/>
      <c r="H143" s="59"/>
      <c r="I143" s="59"/>
      <c r="J143" s="59"/>
      <c r="K143" s="59"/>
      <c r="L143" s="59"/>
      <c r="M143" s="59"/>
      <c r="N143" s="59"/>
      <c r="O143" s="59"/>
      <c r="P143" s="59"/>
    </row>
    <row r="144" spans="1:16" ht="15.6">
      <c r="A144" s="181" t="s">
        <v>20</v>
      </c>
      <c r="B144" s="181" t="s">
        <v>21</v>
      </c>
      <c r="C144" s="181" t="s">
        <v>217</v>
      </c>
      <c r="D144" s="181" t="s">
        <v>18</v>
      </c>
      <c r="E144" s="181" t="s">
        <v>22</v>
      </c>
      <c r="F144" s="181" t="s">
        <v>7</v>
      </c>
      <c r="G144" s="181" t="s">
        <v>13</v>
      </c>
      <c r="H144" s="181" t="s">
        <v>16</v>
      </c>
      <c r="I144" s="181" t="s">
        <v>23</v>
      </c>
      <c r="J144" s="181" t="s">
        <v>24</v>
      </c>
      <c r="K144" s="181" t="s">
        <v>25</v>
      </c>
      <c r="L144" s="181" t="s">
        <v>26</v>
      </c>
      <c r="M144" s="181" t="s">
        <v>27</v>
      </c>
      <c r="N144" s="181" t="s">
        <v>28</v>
      </c>
      <c r="O144" s="181" t="s">
        <v>11</v>
      </c>
      <c r="P144" s="181" t="s">
        <v>702</v>
      </c>
    </row>
    <row r="145" spans="1:22" ht="15.6">
      <c r="A145" s="180" t="str">
        <f>B135</f>
        <v>treatment of titanium, fuselage, airframe, PEMFC-bat, Long-Term</v>
      </c>
      <c r="B145" s="180">
        <v>1</v>
      </c>
      <c r="C145" s="180"/>
      <c r="D145" s="180" t="s">
        <v>37</v>
      </c>
      <c r="E145" s="59" t="s">
        <v>2</v>
      </c>
      <c r="F145" s="59" t="s">
        <v>1910</v>
      </c>
      <c r="G145" s="180" t="s">
        <v>59</v>
      </c>
      <c r="H145" s="59" t="s">
        <v>30</v>
      </c>
      <c r="I145" s="59">
        <v>0</v>
      </c>
      <c r="J145" s="180" t="s">
        <v>31</v>
      </c>
      <c r="K145" s="180" t="s">
        <v>31</v>
      </c>
      <c r="L145" s="180" t="s">
        <v>31</v>
      </c>
      <c r="M145" s="180" t="s">
        <v>31</v>
      </c>
      <c r="N145" s="180" t="s">
        <v>31</v>
      </c>
      <c r="O145" s="180" t="s">
        <v>1918</v>
      </c>
      <c r="P145" s="59"/>
    </row>
    <row r="146" spans="1:22">
      <c r="A146" t="s">
        <v>269</v>
      </c>
      <c r="B146">
        <f>U146</f>
        <v>19.0000152</v>
      </c>
      <c r="D146" t="s">
        <v>39</v>
      </c>
      <c r="E146" t="s">
        <v>40</v>
      </c>
      <c r="F146" s="59" t="s">
        <v>1910</v>
      </c>
      <c r="G146" t="s">
        <v>59</v>
      </c>
      <c r="H146" t="s">
        <v>33</v>
      </c>
      <c r="I146">
        <v>2</v>
      </c>
      <c r="J146">
        <v>9.398101209</v>
      </c>
      <c r="K146">
        <v>0.30331501799999999</v>
      </c>
      <c r="L146" t="s">
        <v>31</v>
      </c>
      <c r="M146" t="s">
        <v>31</v>
      </c>
      <c r="N146" t="s">
        <v>31</v>
      </c>
      <c r="O146" t="s">
        <v>1939</v>
      </c>
      <c r="P146" t="s">
        <v>1940</v>
      </c>
      <c r="Q146" s="22" t="s">
        <v>1921</v>
      </c>
      <c r="S146" s="22">
        <f>114*0.6</f>
        <v>68.399999999999991</v>
      </c>
      <c r="T146" s="22" t="s">
        <v>250</v>
      </c>
      <c r="U146" s="22">
        <f>S146*0.277778</f>
        <v>19.0000152</v>
      </c>
      <c r="V146" s="22" t="s">
        <v>248</v>
      </c>
    </row>
    <row r="147" spans="1:22">
      <c r="A147" t="s">
        <v>69</v>
      </c>
      <c r="B147">
        <f>U147</f>
        <v>1.1906005221932117</v>
      </c>
      <c r="D147" t="s">
        <v>42</v>
      </c>
      <c r="E147" t="s">
        <v>40</v>
      </c>
      <c r="F147" s="59" t="s">
        <v>1910</v>
      </c>
      <c r="G147" t="s">
        <v>249</v>
      </c>
      <c r="H147" t="s">
        <v>33</v>
      </c>
      <c r="I147">
        <v>2</v>
      </c>
      <c r="J147">
        <v>6.6281192500000001</v>
      </c>
      <c r="K147">
        <v>0.30331501799999999</v>
      </c>
      <c r="L147" t="s">
        <v>31</v>
      </c>
      <c r="M147" t="s">
        <v>31</v>
      </c>
      <c r="N147" t="s">
        <v>31</v>
      </c>
      <c r="O147" t="s">
        <v>1941</v>
      </c>
      <c r="P147" t="s">
        <v>1942</v>
      </c>
      <c r="Q147" s="22" t="s">
        <v>1922</v>
      </c>
      <c r="S147" s="22">
        <f>114*0.4</f>
        <v>45.6</v>
      </c>
      <c r="T147" s="22" t="s">
        <v>250</v>
      </c>
      <c r="U147" s="22">
        <f>S147/38.3</f>
        <v>1.1906005221932117</v>
      </c>
      <c r="V147" s="22" t="s">
        <v>251</v>
      </c>
    </row>
    <row r="148" spans="1:22" ht="15.6">
      <c r="A148" t="s">
        <v>403</v>
      </c>
      <c r="B148" s="23">
        <f>-1</f>
        <v>-1</v>
      </c>
      <c r="D148" t="s">
        <v>37</v>
      </c>
      <c r="E148" s="88" t="s">
        <v>40</v>
      </c>
      <c r="F148" s="59" t="s">
        <v>1910</v>
      </c>
      <c r="G148" t="s">
        <v>59</v>
      </c>
      <c r="H148" t="s">
        <v>33</v>
      </c>
      <c r="I148">
        <v>0</v>
      </c>
      <c r="J148" t="s">
        <v>31</v>
      </c>
      <c r="K148" t="s">
        <v>31</v>
      </c>
      <c r="L148" t="s">
        <v>31</v>
      </c>
      <c r="M148" t="s">
        <v>31</v>
      </c>
      <c r="N148" t="s">
        <v>31</v>
      </c>
      <c r="O148" s="17"/>
      <c r="P148" s="59" t="s">
        <v>1943</v>
      </c>
    </row>
    <row r="149" spans="1:22" s="70" customFormat="1" ht="15.6">
      <c r="A149" s="178" t="s">
        <v>5</v>
      </c>
      <c r="B149" s="178" t="s">
        <v>1944</v>
      </c>
      <c r="C149" s="178"/>
      <c r="D149" s="69"/>
      <c r="E149" s="144"/>
      <c r="F149" s="144"/>
      <c r="G149" s="144"/>
      <c r="H149" s="144"/>
      <c r="I149" s="144"/>
      <c r="J149" s="144"/>
      <c r="K149" s="144"/>
      <c r="L149" s="144"/>
      <c r="M149" s="144"/>
      <c r="N149" s="144"/>
      <c r="O149" s="144"/>
      <c r="P149" s="144"/>
    </row>
    <row r="150" spans="1:22">
      <c r="A150" s="59" t="s">
        <v>7</v>
      </c>
      <c r="B150" s="59" t="s">
        <v>1873</v>
      </c>
      <c r="C150" s="59"/>
      <c r="D150" s="59"/>
      <c r="E150" s="59"/>
      <c r="F150" s="59"/>
      <c r="G150" s="59"/>
      <c r="H150" s="59"/>
      <c r="I150" s="59"/>
      <c r="J150" s="59"/>
      <c r="K150" s="59"/>
      <c r="L150" s="59"/>
      <c r="M150" s="59"/>
      <c r="N150" s="59"/>
      <c r="O150" s="59"/>
      <c r="P150" s="59"/>
    </row>
    <row r="151" spans="1:22">
      <c r="A151" s="59" t="s">
        <v>9</v>
      </c>
      <c r="B151" s="59" t="s">
        <v>1945</v>
      </c>
      <c r="C151" s="59"/>
      <c r="D151" s="59"/>
      <c r="E151" s="59"/>
      <c r="F151" s="59"/>
      <c r="G151" s="59"/>
      <c r="H151" s="59"/>
      <c r="I151" s="59"/>
      <c r="J151" s="59"/>
      <c r="K151" s="59"/>
      <c r="L151" s="59"/>
      <c r="M151" s="59"/>
      <c r="N151" s="59"/>
      <c r="O151" s="59"/>
      <c r="P151" s="59"/>
    </row>
    <row r="152" spans="1:22">
      <c r="A152" s="59" t="s">
        <v>11</v>
      </c>
      <c r="B152" s="59" t="s">
        <v>1909</v>
      </c>
      <c r="C152" s="59"/>
      <c r="D152" s="59"/>
      <c r="E152" s="59"/>
      <c r="F152" s="59"/>
      <c r="G152" s="59"/>
      <c r="H152" s="59"/>
      <c r="I152" s="59"/>
      <c r="J152" s="59"/>
      <c r="K152" s="59"/>
      <c r="L152" s="59"/>
      <c r="M152" s="59"/>
      <c r="N152" s="59"/>
      <c r="O152" s="59"/>
      <c r="P152" s="59"/>
    </row>
    <row r="153" spans="1:22">
      <c r="A153" s="59" t="s">
        <v>13</v>
      </c>
      <c r="B153" s="59" t="s">
        <v>59</v>
      </c>
      <c r="C153" s="59"/>
      <c r="D153" s="59"/>
      <c r="E153" s="59"/>
      <c r="F153" s="59"/>
      <c r="G153" s="59"/>
      <c r="H153" s="59"/>
      <c r="I153" s="59"/>
      <c r="J153" s="59"/>
      <c r="K153" s="59"/>
      <c r="L153" s="59"/>
      <c r="M153" s="59"/>
      <c r="N153" s="59"/>
      <c r="O153" s="59"/>
      <c r="P153" s="59"/>
    </row>
    <row r="154" spans="1:22">
      <c r="A154" s="59" t="s">
        <v>15</v>
      </c>
      <c r="B154" s="59">
        <v>1</v>
      </c>
      <c r="C154" s="59"/>
      <c r="D154" s="59"/>
      <c r="E154" s="59"/>
      <c r="F154" s="59"/>
      <c r="G154" s="59"/>
      <c r="H154" s="59"/>
      <c r="I154" s="59"/>
      <c r="J154" s="59"/>
      <c r="K154" s="59"/>
      <c r="L154" s="59"/>
      <c r="M154" s="59"/>
      <c r="N154" s="59"/>
      <c r="O154" s="59"/>
      <c r="P154" s="59"/>
    </row>
    <row r="155" spans="1:22">
      <c r="A155" s="59" t="s">
        <v>16</v>
      </c>
      <c r="B155" s="59" t="s">
        <v>17</v>
      </c>
      <c r="C155" s="59"/>
      <c r="D155" s="59"/>
      <c r="E155" s="59"/>
      <c r="F155" s="59"/>
      <c r="G155" s="59"/>
      <c r="H155" s="59"/>
      <c r="I155" s="59"/>
      <c r="J155" s="59"/>
      <c r="K155" s="59"/>
      <c r="L155" s="59"/>
      <c r="M155" s="59"/>
      <c r="N155" s="59"/>
      <c r="O155" s="59"/>
      <c r="P155" s="59"/>
    </row>
    <row r="156" spans="1:22" ht="15.6">
      <c r="A156" s="59" t="s">
        <v>18</v>
      </c>
      <c r="B156" s="180" t="s">
        <v>37</v>
      </c>
      <c r="C156" s="59"/>
      <c r="D156" s="59"/>
      <c r="E156" s="59" t="s">
        <v>235</v>
      </c>
      <c r="F156" s="59"/>
      <c r="G156" s="59"/>
      <c r="H156" s="59"/>
      <c r="I156" s="59"/>
      <c r="J156" s="59"/>
      <c r="K156" s="59"/>
      <c r="L156" s="59"/>
      <c r="M156" s="59"/>
      <c r="N156" s="59"/>
      <c r="O156" s="59"/>
      <c r="P156" s="59"/>
    </row>
    <row r="157" spans="1:22" ht="15.6">
      <c r="A157" s="181" t="s">
        <v>19</v>
      </c>
      <c r="B157" s="59"/>
      <c r="C157" s="59"/>
      <c r="D157" s="59"/>
      <c r="E157" s="59"/>
      <c r="F157" s="59"/>
      <c r="G157" s="59"/>
      <c r="H157" s="59"/>
      <c r="I157" s="59"/>
      <c r="J157" s="59"/>
      <c r="K157" s="59"/>
      <c r="L157" s="59"/>
      <c r="M157" s="59"/>
      <c r="N157" s="59"/>
      <c r="O157" s="59"/>
      <c r="P157" s="59"/>
    </row>
    <row r="158" spans="1:22" ht="15.6">
      <c r="A158" s="181" t="s">
        <v>20</v>
      </c>
      <c r="B158" s="181" t="s">
        <v>21</v>
      </c>
      <c r="C158" s="181" t="s">
        <v>217</v>
      </c>
      <c r="D158" s="181" t="s">
        <v>18</v>
      </c>
      <c r="E158" s="181" t="s">
        <v>22</v>
      </c>
      <c r="F158" s="181" t="s">
        <v>7</v>
      </c>
      <c r="G158" s="181" t="s">
        <v>13</v>
      </c>
      <c r="H158" s="181" t="s">
        <v>16</v>
      </c>
      <c r="I158" s="181" t="s">
        <v>23</v>
      </c>
      <c r="J158" s="181" t="s">
        <v>24</v>
      </c>
      <c r="K158" s="181" t="s">
        <v>25</v>
      </c>
      <c r="L158" s="181" t="s">
        <v>26</v>
      </c>
      <c r="M158" s="181" t="s">
        <v>27</v>
      </c>
      <c r="N158" s="181" t="s">
        <v>28</v>
      </c>
      <c r="O158" s="181" t="s">
        <v>11</v>
      </c>
      <c r="P158" s="181" t="s">
        <v>702</v>
      </c>
    </row>
    <row r="159" spans="1:22" ht="15.6">
      <c r="A159" s="180" t="str">
        <f>B149</f>
        <v>treatment of system, frunishing and, operative equipment, airframe, PEMFC-bat, Long-Term</v>
      </c>
      <c r="B159" s="180">
        <v>1</v>
      </c>
      <c r="C159" s="180"/>
      <c r="D159" s="180" t="s">
        <v>37</v>
      </c>
      <c r="E159" s="59" t="s">
        <v>2</v>
      </c>
      <c r="F159" s="59" t="s">
        <v>1910</v>
      </c>
      <c r="G159" s="180" t="s">
        <v>59</v>
      </c>
      <c r="H159" s="59" t="s">
        <v>30</v>
      </c>
      <c r="I159" s="59">
        <v>0</v>
      </c>
      <c r="J159" s="180" t="s">
        <v>31</v>
      </c>
      <c r="K159" s="180" t="s">
        <v>31</v>
      </c>
      <c r="L159" s="180" t="s">
        <v>31</v>
      </c>
      <c r="M159" s="180" t="s">
        <v>31</v>
      </c>
      <c r="N159" s="180" t="s">
        <v>31</v>
      </c>
      <c r="O159" s="180"/>
      <c r="P159" s="59"/>
    </row>
    <row r="160" spans="1:22" ht="15.6">
      <c r="A160" t="str">
        <f>B91</f>
        <v>treatment of aluminium, fuselage, airframe, PEMFC-bat, Long-Term</v>
      </c>
      <c r="B160">
        <v>430.15800000000013</v>
      </c>
      <c r="D160" s="180" t="s">
        <v>37</v>
      </c>
      <c r="E160" s="59" t="s">
        <v>2</v>
      </c>
      <c r="F160" s="59" t="s">
        <v>1910</v>
      </c>
      <c r="G160" s="180" t="s">
        <v>59</v>
      </c>
      <c r="H160" s="59" t="s">
        <v>30</v>
      </c>
      <c r="I160" s="59">
        <v>0</v>
      </c>
      <c r="J160" s="180" t="s">
        <v>31</v>
      </c>
      <c r="K160" s="180" t="s">
        <v>31</v>
      </c>
      <c r="L160" s="180" t="s">
        <v>31</v>
      </c>
      <c r="M160" s="180" t="s">
        <v>31</v>
      </c>
      <c r="N160" s="180" t="s">
        <v>31</v>
      </c>
      <c r="O160" s="180" t="s">
        <v>1946</v>
      </c>
    </row>
    <row r="161" spans="1:16" ht="15.6">
      <c r="A161" s="88" t="s">
        <v>312</v>
      </c>
      <c r="B161" s="59">
        <v>420.41844479999997</v>
      </c>
      <c r="D161" t="s">
        <v>37</v>
      </c>
      <c r="E161" s="188" t="s">
        <v>40</v>
      </c>
      <c r="F161" s="59" t="s">
        <v>1910</v>
      </c>
      <c r="G161" t="s">
        <v>82</v>
      </c>
      <c r="H161" t="s">
        <v>33</v>
      </c>
      <c r="I161" s="59">
        <v>0</v>
      </c>
      <c r="J161" s="180" t="s">
        <v>31</v>
      </c>
      <c r="K161" s="180" t="s">
        <v>31</v>
      </c>
      <c r="L161" s="180" t="s">
        <v>31</v>
      </c>
      <c r="M161" s="180" t="s">
        <v>31</v>
      </c>
      <c r="N161" s="180" t="s">
        <v>31</v>
      </c>
      <c r="O161" s="180" t="s">
        <v>1947</v>
      </c>
    </row>
    <row r="162" spans="1:16">
      <c r="A162" t="s">
        <v>403</v>
      </c>
      <c r="B162" s="23">
        <v>-47.819000000000003</v>
      </c>
      <c r="D162" t="s">
        <v>37</v>
      </c>
      <c r="E162" s="88" t="s">
        <v>40</v>
      </c>
      <c r="F162" s="59" t="s">
        <v>1910</v>
      </c>
      <c r="G162" t="s">
        <v>59</v>
      </c>
      <c r="H162" t="s">
        <v>33</v>
      </c>
      <c r="I162">
        <v>0</v>
      </c>
      <c r="J162" t="s">
        <v>31</v>
      </c>
      <c r="K162" t="s">
        <v>31</v>
      </c>
      <c r="L162" t="s">
        <v>31</v>
      </c>
      <c r="M162" t="s">
        <v>31</v>
      </c>
      <c r="N162" t="s">
        <v>31</v>
      </c>
      <c r="O162" s="59" t="s">
        <v>1948</v>
      </c>
    </row>
    <row r="163" spans="1:16">
      <c r="A163" t="s">
        <v>403</v>
      </c>
      <c r="B163">
        <v>-7.3369999999999997</v>
      </c>
      <c r="D163" t="s">
        <v>37</v>
      </c>
      <c r="E163" s="88" t="s">
        <v>40</v>
      </c>
      <c r="F163" s="59" t="s">
        <v>1910</v>
      </c>
      <c r="G163" t="s">
        <v>59</v>
      </c>
      <c r="H163" t="s">
        <v>33</v>
      </c>
      <c r="I163">
        <v>0</v>
      </c>
      <c r="J163" t="s">
        <v>31</v>
      </c>
      <c r="K163" t="s">
        <v>31</v>
      </c>
      <c r="L163" t="s">
        <v>31</v>
      </c>
      <c r="M163" t="s">
        <v>31</v>
      </c>
      <c r="N163" t="s">
        <v>31</v>
      </c>
      <c r="O163" s="59" t="s">
        <v>1949</v>
      </c>
    </row>
    <row r="164" spans="1:16" ht="15.6">
      <c r="A164" s="88" t="s">
        <v>312</v>
      </c>
      <c r="B164" s="59">
        <v>133.7013024</v>
      </c>
      <c r="D164" t="s">
        <v>37</v>
      </c>
      <c r="E164" s="188" t="s">
        <v>40</v>
      </c>
      <c r="F164" s="59" t="s">
        <v>1910</v>
      </c>
      <c r="G164" t="s">
        <v>82</v>
      </c>
      <c r="H164" t="s">
        <v>33</v>
      </c>
      <c r="I164" s="59">
        <v>0</v>
      </c>
      <c r="J164" s="180" t="s">
        <v>31</v>
      </c>
      <c r="K164" s="180" t="s">
        <v>31</v>
      </c>
      <c r="L164" s="180" t="s">
        <v>31</v>
      </c>
      <c r="M164" s="180" t="s">
        <v>31</v>
      </c>
      <c r="N164" s="180" t="s">
        <v>31</v>
      </c>
      <c r="O164" s="180" t="s">
        <v>1950</v>
      </c>
    </row>
    <row r="165" spans="1:16" ht="15.6">
      <c r="A165" s="88" t="s">
        <v>312</v>
      </c>
      <c r="B165" s="59">
        <v>10</v>
      </c>
      <c r="D165" t="s">
        <v>37</v>
      </c>
      <c r="E165" s="188" t="s">
        <v>40</v>
      </c>
      <c r="F165" s="59" t="s">
        <v>1910</v>
      </c>
      <c r="G165" t="s">
        <v>82</v>
      </c>
      <c r="H165" t="s">
        <v>33</v>
      </c>
      <c r="I165" s="59">
        <v>0</v>
      </c>
      <c r="J165" s="180" t="s">
        <v>31</v>
      </c>
      <c r="K165" s="180" t="s">
        <v>31</v>
      </c>
      <c r="L165" s="180" t="s">
        <v>31</v>
      </c>
      <c r="M165" s="180" t="s">
        <v>31</v>
      </c>
      <c r="N165" s="180" t="s">
        <v>31</v>
      </c>
      <c r="O165" s="180" t="s">
        <v>1951</v>
      </c>
    </row>
    <row r="166" spans="1:16" ht="15.6">
      <c r="A166" s="88" t="s">
        <v>312</v>
      </c>
      <c r="B166" s="59">
        <v>10.5</v>
      </c>
      <c r="D166" t="s">
        <v>37</v>
      </c>
      <c r="E166" s="188" t="s">
        <v>40</v>
      </c>
      <c r="F166" s="59" t="s">
        <v>1910</v>
      </c>
      <c r="G166" t="s">
        <v>82</v>
      </c>
      <c r="H166" t="s">
        <v>33</v>
      </c>
      <c r="I166" s="59">
        <v>0</v>
      </c>
      <c r="J166" s="180" t="s">
        <v>31</v>
      </c>
      <c r="K166" s="180" t="s">
        <v>31</v>
      </c>
      <c r="L166" s="180" t="s">
        <v>31</v>
      </c>
      <c r="M166" s="180" t="s">
        <v>31</v>
      </c>
      <c r="N166" s="180" t="s">
        <v>31</v>
      </c>
      <c r="O166" s="180" t="s">
        <v>1952</v>
      </c>
    </row>
    <row r="167" spans="1:16" ht="15.6">
      <c r="A167" t="s">
        <v>403</v>
      </c>
      <c r="B167" s="59">
        <v>-6.26</v>
      </c>
      <c r="D167" t="s">
        <v>37</v>
      </c>
      <c r="E167" s="88" t="s">
        <v>40</v>
      </c>
      <c r="F167" s="59" t="s">
        <v>1910</v>
      </c>
      <c r="G167" t="s">
        <v>59</v>
      </c>
      <c r="H167" t="s">
        <v>33</v>
      </c>
      <c r="I167">
        <v>0</v>
      </c>
      <c r="J167" t="s">
        <v>31</v>
      </c>
      <c r="K167" t="s">
        <v>31</v>
      </c>
      <c r="L167" t="s">
        <v>31</v>
      </c>
      <c r="M167" t="s">
        <v>31</v>
      </c>
      <c r="N167" t="s">
        <v>31</v>
      </c>
      <c r="O167" s="180" t="s">
        <v>1396</v>
      </c>
    </row>
    <row r="168" spans="1:16">
      <c r="A168" t="s">
        <v>403</v>
      </c>
      <c r="B168" s="59">
        <v>-15.526999999999999</v>
      </c>
      <c r="D168" t="s">
        <v>37</v>
      </c>
      <c r="E168" s="88" t="s">
        <v>40</v>
      </c>
      <c r="F168" s="59" t="s">
        <v>1910</v>
      </c>
      <c r="G168" t="s">
        <v>59</v>
      </c>
      <c r="H168" t="s">
        <v>33</v>
      </c>
      <c r="I168">
        <v>0</v>
      </c>
      <c r="J168" t="s">
        <v>31</v>
      </c>
      <c r="K168" t="s">
        <v>31</v>
      </c>
      <c r="L168" t="s">
        <v>31</v>
      </c>
      <c r="M168" t="s">
        <v>31</v>
      </c>
      <c r="N168" t="s">
        <v>31</v>
      </c>
      <c r="O168" s="59" t="s">
        <v>1953</v>
      </c>
    </row>
    <row r="169" spans="1:16" s="185" customFormat="1" ht="15.6">
      <c r="A169" s="182" t="s">
        <v>5</v>
      </c>
      <c r="B169" s="178" t="s">
        <v>1954</v>
      </c>
      <c r="C169" s="182"/>
      <c r="D169" s="183"/>
      <c r="E169" s="184"/>
      <c r="F169" s="184"/>
      <c r="G169" s="184"/>
      <c r="H169" s="184"/>
      <c r="I169" s="184"/>
      <c r="J169" s="184"/>
      <c r="K169" s="184"/>
      <c r="L169" s="184"/>
      <c r="M169" s="184"/>
      <c r="N169" s="184"/>
      <c r="O169" s="184"/>
      <c r="P169" s="184"/>
    </row>
    <row r="170" spans="1:16">
      <c r="A170" s="59" t="s">
        <v>7</v>
      </c>
      <c r="B170" s="59" t="s">
        <v>1873</v>
      </c>
      <c r="C170" s="59"/>
      <c r="D170" s="59"/>
      <c r="E170" s="59"/>
      <c r="F170" s="59"/>
      <c r="G170" s="59"/>
      <c r="H170" s="59"/>
      <c r="I170" s="59"/>
      <c r="J170" s="59"/>
      <c r="K170" s="59"/>
      <c r="L170" s="59"/>
      <c r="M170" s="59"/>
      <c r="N170" s="59"/>
      <c r="O170" s="59"/>
      <c r="P170" s="59"/>
    </row>
    <row r="171" spans="1:16">
      <c r="A171" s="59" t="s">
        <v>9</v>
      </c>
      <c r="B171" s="59" t="s">
        <v>1955</v>
      </c>
      <c r="C171" s="59"/>
      <c r="D171" s="59"/>
      <c r="E171" s="59"/>
      <c r="F171" s="59"/>
      <c r="G171" s="59"/>
      <c r="H171" s="59"/>
      <c r="I171" s="59"/>
      <c r="J171" s="59"/>
      <c r="K171" s="59"/>
      <c r="L171" s="59"/>
      <c r="M171" s="59"/>
      <c r="N171" s="59"/>
      <c r="O171" s="59"/>
      <c r="P171" s="59"/>
    </row>
    <row r="172" spans="1:16">
      <c r="A172" s="59" t="s">
        <v>11</v>
      </c>
      <c r="B172" s="59" t="s">
        <v>1956</v>
      </c>
      <c r="C172" s="59"/>
      <c r="D172" s="59"/>
      <c r="E172" s="59"/>
      <c r="F172" s="59"/>
      <c r="G172" s="59"/>
      <c r="H172" s="59"/>
      <c r="I172" s="59"/>
      <c r="J172" s="59"/>
      <c r="K172" s="59"/>
      <c r="L172" s="59"/>
      <c r="M172" s="59"/>
      <c r="N172" s="59"/>
      <c r="O172" s="59"/>
      <c r="P172" s="59"/>
    </row>
    <row r="173" spans="1:16">
      <c r="A173" s="59" t="s">
        <v>13</v>
      </c>
      <c r="B173" s="59" t="s">
        <v>59</v>
      </c>
      <c r="C173" s="59"/>
      <c r="D173" s="59"/>
      <c r="E173" s="59"/>
      <c r="F173" s="59"/>
      <c r="G173" s="59"/>
      <c r="H173" s="59"/>
      <c r="I173" s="59"/>
      <c r="J173" s="59"/>
      <c r="K173" s="59"/>
      <c r="L173" s="59"/>
      <c r="M173" s="59"/>
      <c r="N173" s="59"/>
      <c r="O173" s="59"/>
      <c r="P173" s="59"/>
    </row>
    <row r="174" spans="1:16">
      <c r="A174" s="59" t="s">
        <v>15</v>
      </c>
      <c r="B174" s="59">
        <v>1</v>
      </c>
      <c r="C174" s="59"/>
      <c r="D174" s="59"/>
      <c r="E174" s="59"/>
      <c r="F174" s="59"/>
      <c r="G174" s="59"/>
      <c r="H174" s="59"/>
      <c r="I174" s="59"/>
      <c r="J174" s="59"/>
      <c r="K174" s="59"/>
      <c r="L174" s="59"/>
      <c r="M174" s="59"/>
      <c r="N174" s="59"/>
      <c r="O174" s="59"/>
      <c r="P174" s="59"/>
    </row>
    <row r="175" spans="1:16">
      <c r="A175" s="59" t="s">
        <v>16</v>
      </c>
      <c r="B175" s="59" t="s">
        <v>17</v>
      </c>
      <c r="C175" s="59"/>
      <c r="D175" s="59"/>
      <c r="E175" s="59"/>
      <c r="F175" s="59"/>
      <c r="G175" s="59"/>
      <c r="H175" s="59"/>
      <c r="I175" s="59"/>
      <c r="J175" s="59"/>
      <c r="K175" s="59"/>
      <c r="L175" s="59"/>
      <c r="M175" s="59"/>
      <c r="N175" s="59"/>
      <c r="O175" s="59"/>
      <c r="P175" s="59"/>
    </row>
    <row r="176" spans="1:16" ht="15.6">
      <c r="A176" s="59" t="s">
        <v>18</v>
      </c>
      <c r="B176" s="180" t="s">
        <v>18</v>
      </c>
      <c r="C176" s="59"/>
      <c r="D176" s="59"/>
      <c r="E176" s="59" t="s">
        <v>235</v>
      </c>
      <c r="F176" s="59"/>
      <c r="G176" s="59"/>
      <c r="H176" s="59"/>
      <c r="I176" s="59"/>
      <c r="J176" s="59"/>
      <c r="K176" s="59"/>
      <c r="L176" s="59"/>
      <c r="M176" s="59"/>
      <c r="N176" s="59"/>
      <c r="O176" s="59"/>
      <c r="P176" s="59"/>
    </row>
    <row r="177" spans="1:16" ht="15.6">
      <c r="A177" s="181" t="s">
        <v>19</v>
      </c>
      <c r="B177" s="59"/>
      <c r="C177" s="59"/>
      <c r="D177" s="59"/>
      <c r="E177" s="59"/>
      <c r="F177" s="59"/>
      <c r="G177" s="59"/>
      <c r="H177" s="59"/>
      <c r="I177" s="59"/>
      <c r="J177" s="59"/>
      <c r="K177" s="59"/>
      <c r="L177" s="59"/>
      <c r="M177" s="59"/>
      <c r="N177" s="59"/>
      <c r="O177" s="59"/>
      <c r="P177" s="59"/>
    </row>
    <row r="178" spans="1:16" ht="15.6">
      <c r="A178" s="181" t="s">
        <v>20</v>
      </c>
      <c r="B178" s="181" t="s">
        <v>21</v>
      </c>
      <c r="C178" s="181" t="s">
        <v>217</v>
      </c>
      <c r="D178" s="181" t="s">
        <v>18</v>
      </c>
      <c r="E178" s="181" t="s">
        <v>22</v>
      </c>
      <c r="F178" s="181" t="s">
        <v>7</v>
      </c>
      <c r="G178" s="181" t="s">
        <v>13</v>
      </c>
      <c r="H178" s="181" t="s">
        <v>16</v>
      </c>
      <c r="I178" s="181" t="s">
        <v>23</v>
      </c>
      <c r="J178" s="181" t="s">
        <v>24</v>
      </c>
      <c r="K178" s="181" t="s">
        <v>25</v>
      </c>
      <c r="L178" s="181" t="s">
        <v>26</v>
      </c>
      <c r="M178" s="181" t="s">
        <v>27</v>
      </c>
      <c r="N178" s="181" t="s">
        <v>28</v>
      </c>
      <c r="O178" s="181" t="s">
        <v>11</v>
      </c>
      <c r="P178" s="181" t="s">
        <v>702</v>
      </c>
    </row>
    <row r="179" spans="1:16" ht="15.6">
      <c r="A179" s="180" t="str">
        <f>B169</f>
        <v>treatment wing , airframe, PEMFC-bat, Long-Term</v>
      </c>
      <c r="B179">
        <v>1</v>
      </c>
      <c r="C179" s="180"/>
      <c r="D179" s="180" t="s">
        <v>18</v>
      </c>
      <c r="E179" s="59" t="s">
        <v>2</v>
      </c>
      <c r="F179" s="59" t="s">
        <v>1910</v>
      </c>
      <c r="G179" s="180" t="s">
        <v>59</v>
      </c>
      <c r="H179" s="59" t="s">
        <v>30</v>
      </c>
      <c r="I179" s="59">
        <v>0</v>
      </c>
      <c r="J179" s="180" t="s">
        <v>31</v>
      </c>
      <c r="K179" s="180" t="s">
        <v>31</v>
      </c>
      <c r="L179" s="180" t="s">
        <v>31</v>
      </c>
      <c r="M179" s="180" t="s">
        <v>31</v>
      </c>
      <c r="N179" s="180" t="s">
        <v>31</v>
      </c>
      <c r="O179" s="180"/>
      <c r="P179" s="59"/>
    </row>
    <row r="180" spans="1:16" ht="15.6">
      <c r="A180" t="str">
        <f>B2</f>
        <v>treatment of aluminium, wing, airframe, PEMFC-bat, Long-Term</v>
      </c>
      <c r="B180" s="206">
        <v>326.30016000000001</v>
      </c>
      <c r="C180" s="180"/>
      <c r="D180" s="180" t="s">
        <v>37</v>
      </c>
      <c r="E180" s="59" t="s">
        <v>2</v>
      </c>
      <c r="F180" s="59" t="s">
        <v>1910</v>
      </c>
      <c r="G180" s="180" t="s">
        <v>59</v>
      </c>
      <c r="H180" s="59" t="s">
        <v>33</v>
      </c>
      <c r="I180" s="59">
        <v>0</v>
      </c>
      <c r="J180" s="180" t="s">
        <v>31</v>
      </c>
      <c r="K180" s="180" t="s">
        <v>31</v>
      </c>
      <c r="L180" s="180" t="s">
        <v>31</v>
      </c>
      <c r="M180" s="180" t="s">
        <v>31</v>
      </c>
      <c r="N180" s="180" t="s">
        <v>31</v>
      </c>
    </row>
    <row r="181" spans="1:16" ht="15.6">
      <c r="A181" t="str">
        <f>B17</f>
        <v>treatment of biofiber, wing, airframe, PEMFC-bat, Long-Term</v>
      </c>
      <c r="B181" s="206">
        <v>8886.4</v>
      </c>
      <c r="C181" s="180"/>
      <c r="D181" s="180" t="s">
        <v>37</v>
      </c>
      <c r="E181" s="59" t="s">
        <v>2</v>
      </c>
      <c r="F181" s="59" t="s">
        <v>1910</v>
      </c>
      <c r="G181" s="180" t="s">
        <v>59</v>
      </c>
      <c r="H181" s="59" t="s">
        <v>33</v>
      </c>
      <c r="I181" s="59">
        <v>0</v>
      </c>
      <c r="J181" s="180" t="s">
        <v>31</v>
      </c>
      <c r="K181" s="180" t="s">
        <v>31</v>
      </c>
      <c r="L181" s="180" t="s">
        <v>31</v>
      </c>
      <c r="M181" s="180" t="s">
        <v>31</v>
      </c>
      <c r="N181" s="180" t="s">
        <v>31</v>
      </c>
    </row>
    <row r="182" spans="1:16" ht="15.6">
      <c r="A182" t="str">
        <f>B32</f>
        <v>treatment of steel, wing, airframe, PEMFC-bat, Long-Term</v>
      </c>
      <c r="B182" s="206">
        <v>120.23821</v>
      </c>
      <c r="C182" s="180"/>
      <c r="D182" s="180" t="s">
        <v>37</v>
      </c>
      <c r="E182" s="59" t="s">
        <v>2</v>
      </c>
      <c r="F182" s="59" t="s">
        <v>1910</v>
      </c>
      <c r="G182" s="180" t="s">
        <v>59</v>
      </c>
      <c r="H182" s="59" t="s">
        <v>33</v>
      </c>
      <c r="I182" s="59">
        <v>0</v>
      </c>
      <c r="J182" s="180" t="s">
        <v>31</v>
      </c>
      <c r="K182" s="180" t="s">
        <v>31</v>
      </c>
      <c r="L182" s="180" t="s">
        <v>31</v>
      </c>
      <c r="M182" s="180" t="s">
        <v>31</v>
      </c>
      <c r="N182" s="180" t="s">
        <v>31</v>
      </c>
    </row>
    <row r="183" spans="1:16" ht="15.6">
      <c r="A183" t="str">
        <f>B46</f>
        <v>treatment of titanium, wing, airframe, PEMFC-bat, Long-Term</v>
      </c>
      <c r="B183" s="206">
        <v>227.30545000000001</v>
      </c>
      <c r="C183" s="180"/>
      <c r="D183" s="180" t="s">
        <v>37</v>
      </c>
      <c r="E183" s="59" t="s">
        <v>2</v>
      </c>
      <c r="F183" s="59" t="s">
        <v>1910</v>
      </c>
      <c r="G183" s="180" t="s">
        <v>59</v>
      </c>
      <c r="H183" s="59" t="s">
        <v>33</v>
      </c>
      <c r="I183" s="59">
        <v>0</v>
      </c>
      <c r="J183" s="180" t="s">
        <v>31</v>
      </c>
      <c r="K183" s="180" t="s">
        <v>31</v>
      </c>
      <c r="L183" s="180" t="s">
        <v>31</v>
      </c>
      <c r="M183" s="180" t="s">
        <v>31</v>
      </c>
      <c r="N183" s="180" t="s">
        <v>31</v>
      </c>
    </row>
    <row r="184" spans="1:16" s="185" customFormat="1" ht="15.6">
      <c r="A184" s="182" t="s">
        <v>5</v>
      </c>
      <c r="B184" s="178" t="s">
        <v>1957</v>
      </c>
      <c r="C184" s="182"/>
      <c r="D184" s="183"/>
      <c r="E184" s="184"/>
      <c r="F184" s="184"/>
      <c r="G184" s="184"/>
      <c r="H184" s="184"/>
      <c r="I184" s="184"/>
      <c r="J184" s="184"/>
      <c r="K184" s="184"/>
      <c r="L184" s="184"/>
      <c r="M184" s="184"/>
      <c r="N184" s="184"/>
      <c r="O184" s="184"/>
      <c r="P184" s="184"/>
    </row>
    <row r="185" spans="1:16">
      <c r="A185" s="59" t="s">
        <v>7</v>
      </c>
      <c r="B185" s="59" t="s">
        <v>1873</v>
      </c>
      <c r="C185" s="59"/>
      <c r="D185" s="59"/>
      <c r="E185" s="59"/>
      <c r="F185" s="59"/>
      <c r="G185" s="59"/>
      <c r="H185" s="59"/>
      <c r="I185" s="59"/>
      <c r="J185" s="59"/>
      <c r="K185" s="59"/>
      <c r="L185" s="59"/>
      <c r="M185" s="59"/>
      <c r="N185" s="59"/>
      <c r="O185" s="59"/>
      <c r="P185" s="59"/>
    </row>
    <row r="186" spans="1:16">
      <c r="A186" s="59" t="s">
        <v>9</v>
      </c>
      <c r="B186" s="59" t="s">
        <v>1958</v>
      </c>
      <c r="C186" s="59"/>
      <c r="D186" s="59"/>
      <c r="E186" s="59"/>
      <c r="F186" s="59"/>
      <c r="G186" s="59"/>
      <c r="H186" s="59"/>
      <c r="I186" s="59"/>
      <c r="J186" s="59"/>
      <c r="K186" s="59"/>
      <c r="L186" s="59"/>
      <c r="M186" s="59"/>
      <c r="N186" s="59"/>
      <c r="O186" s="59"/>
      <c r="P186" s="59"/>
    </row>
    <row r="187" spans="1:16">
      <c r="A187" s="59" t="s">
        <v>11</v>
      </c>
      <c r="B187" s="59" t="s">
        <v>1956</v>
      </c>
      <c r="C187" s="59"/>
      <c r="D187" s="59"/>
      <c r="E187" s="59"/>
      <c r="F187" s="59"/>
      <c r="G187" s="59"/>
      <c r="H187" s="59"/>
      <c r="I187" s="59"/>
      <c r="J187" s="59"/>
      <c r="K187" s="59"/>
      <c r="L187" s="59"/>
      <c r="M187" s="59"/>
      <c r="N187" s="59"/>
      <c r="O187" s="59"/>
      <c r="P187" s="59"/>
    </row>
    <row r="188" spans="1:16">
      <c r="A188" s="59" t="s">
        <v>13</v>
      </c>
      <c r="B188" s="59" t="s">
        <v>59</v>
      </c>
      <c r="C188" s="59"/>
      <c r="D188" s="59"/>
      <c r="E188" s="59"/>
      <c r="F188" s="59"/>
      <c r="G188" s="59"/>
      <c r="H188" s="59"/>
      <c r="I188" s="59"/>
      <c r="J188" s="59"/>
      <c r="K188" s="59"/>
      <c r="L188" s="59"/>
      <c r="M188" s="59"/>
      <c r="N188" s="59"/>
      <c r="O188" s="59"/>
      <c r="P188" s="59"/>
    </row>
    <row r="189" spans="1:16">
      <c r="A189" s="59" t="s">
        <v>15</v>
      </c>
      <c r="B189" s="59">
        <v>1</v>
      </c>
      <c r="C189" s="59"/>
      <c r="D189" s="59"/>
      <c r="E189" s="59"/>
      <c r="F189" s="59"/>
      <c r="G189" s="59"/>
      <c r="H189" s="59"/>
      <c r="I189" s="59"/>
      <c r="J189" s="59"/>
      <c r="K189" s="59"/>
      <c r="L189" s="59"/>
      <c r="M189" s="59"/>
      <c r="N189" s="59"/>
      <c r="O189" s="59"/>
      <c r="P189" s="59"/>
    </row>
    <row r="190" spans="1:16">
      <c r="A190" s="59" t="s">
        <v>16</v>
      </c>
      <c r="B190" s="59" t="s">
        <v>17</v>
      </c>
      <c r="C190" s="59"/>
      <c r="D190" s="59"/>
      <c r="E190" s="59"/>
      <c r="F190" s="59"/>
      <c r="G190" s="59"/>
      <c r="H190" s="59"/>
      <c r="I190" s="59"/>
      <c r="J190" s="59"/>
      <c r="K190" s="59"/>
      <c r="L190" s="59"/>
      <c r="M190" s="59"/>
      <c r="N190" s="59"/>
      <c r="O190" s="59"/>
      <c r="P190" s="59"/>
    </row>
    <row r="191" spans="1:16" ht="15.6">
      <c r="A191" s="59" t="s">
        <v>18</v>
      </c>
      <c r="B191" s="180" t="s">
        <v>18</v>
      </c>
      <c r="C191" s="59"/>
      <c r="D191" s="59"/>
      <c r="E191" s="59" t="s">
        <v>235</v>
      </c>
      <c r="F191" s="59"/>
      <c r="G191" s="59"/>
      <c r="H191" s="59"/>
      <c r="I191" s="59"/>
      <c r="J191" s="59"/>
      <c r="K191" s="59"/>
      <c r="L191" s="59"/>
      <c r="M191" s="59"/>
      <c r="N191" s="59"/>
      <c r="O191" s="59"/>
      <c r="P191" s="59"/>
    </row>
    <row r="192" spans="1:16" ht="15.6">
      <c r="A192" s="181" t="s">
        <v>19</v>
      </c>
      <c r="B192" s="59"/>
      <c r="C192" s="59"/>
      <c r="D192" s="59"/>
      <c r="E192" s="59"/>
      <c r="F192" s="59"/>
      <c r="G192" s="59"/>
      <c r="H192" s="59"/>
      <c r="I192" s="59"/>
      <c r="J192" s="59"/>
      <c r="K192" s="59"/>
      <c r="L192" s="59"/>
      <c r="M192" s="59"/>
      <c r="N192" s="59"/>
      <c r="O192" s="59"/>
      <c r="P192" s="59"/>
    </row>
    <row r="193" spans="1:16" ht="15.6">
      <c r="A193" s="181" t="s">
        <v>20</v>
      </c>
      <c r="B193" s="181" t="s">
        <v>21</v>
      </c>
      <c r="C193" s="181" t="s">
        <v>217</v>
      </c>
      <c r="D193" s="181" t="s">
        <v>18</v>
      </c>
      <c r="E193" s="181" t="s">
        <v>22</v>
      </c>
      <c r="F193" s="181" t="s">
        <v>7</v>
      </c>
      <c r="G193" s="181" t="s">
        <v>13</v>
      </c>
      <c r="H193" s="181" t="s">
        <v>16</v>
      </c>
      <c r="I193" s="181" t="s">
        <v>23</v>
      </c>
      <c r="J193" s="181" t="s">
        <v>24</v>
      </c>
      <c r="K193" s="181" t="s">
        <v>25</v>
      </c>
      <c r="L193" s="181" t="s">
        <v>26</v>
      </c>
      <c r="M193" s="181" t="s">
        <v>27</v>
      </c>
      <c r="N193" s="181" t="s">
        <v>28</v>
      </c>
      <c r="O193" s="181" t="s">
        <v>11</v>
      </c>
      <c r="P193" s="181" t="s">
        <v>702</v>
      </c>
    </row>
    <row r="194" spans="1:16" ht="15.6">
      <c r="A194" s="180" t="str">
        <f>B184</f>
        <v>treatment tail , airframe, PEMFC-bat, Long-Term</v>
      </c>
      <c r="B194">
        <v>1</v>
      </c>
      <c r="C194" s="180"/>
      <c r="D194" s="180" t="s">
        <v>18</v>
      </c>
      <c r="E194" s="59" t="s">
        <v>2</v>
      </c>
      <c r="F194" s="59" t="s">
        <v>1910</v>
      </c>
      <c r="G194" s="180" t="s">
        <v>59</v>
      </c>
      <c r="H194" s="59" t="s">
        <v>30</v>
      </c>
      <c r="I194" s="59">
        <v>0</v>
      </c>
      <c r="J194" s="180" t="s">
        <v>31</v>
      </c>
      <c r="K194" s="180" t="s">
        <v>31</v>
      </c>
      <c r="L194" s="180" t="s">
        <v>31</v>
      </c>
      <c r="M194" s="180" t="s">
        <v>31</v>
      </c>
      <c r="N194" s="180" t="s">
        <v>31</v>
      </c>
      <c r="O194" s="180"/>
      <c r="P194" s="59"/>
    </row>
    <row r="195" spans="1:16" ht="15.6">
      <c r="A195" t="str">
        <f>B61</f>
        <v>treatment of aluminium, tail, airframe, PEMFC-bat, Long-Term</v>
      </c>
      <c r="B195" s="206">
        <v>18.806804375109508</v>
      </c>
      <c r="D195" s="180" t="s">
        <v>37</v>
      </c>
      <c r="E195" s="59" t="s">
        <v>2</v>
      </c>
      <c r="F195" s="59" t="s">
        <v>1910</v>
      </c>
      <c r="G195" s="180" t="s">
        <v>59</v>
      </c>
      <c r="H195" s="59" t="s">
        <v>33</v>
      </c>
      <c r="I195" s="59">
        <v>0</v>
      </c>
      <c r="J195" s="180" t="s">
        <v>31</v>
      </c>
      <c r="K195" s="180" t="s">
        <v>31</v>
      </c>
      <c r="L195" s="180" t="s">
        <v>31</v>
      </c>
      <c r="M195" s="180" t="s">
        <v>31</v>
      </c>
      <c r="N195" s="180" t="s">
        <v>31</v>
      </c>
    </row>
    <row r="196" spans="1:16" ht="15.6">
      <c r="A196" t="str">
        <f>B76</f>
        <v>treatment of composites, tail, airframe, PEMFC-bat, Long-Term</v>
      </c>
      <c r="B196" s="206">
        <v>311.23215183446382</v>
      </c>
      <c r="D196" s="180" t="s">
        <v>37</v>
      </c>
      <c r="E196" s="59" t="s">
        <v>2</v>
      </c>
      <c r="F196" s="59" t="s">
        <v>1910</v>
      </c>
      <c r="G196" s="180" t="s">
        <v>59</v>
      </c>
      <c r="H196" s="59" t="s">
        <v>33</v>
      </c>
      <c r="I196" s="59">
        <v>0</v>
      </c>
      <c r="J196" s="180" t="s">
        <v>31</v>
      </c>
      <c r="K196" s="180" t="s">
        <v>31</v>
      </c>
      <c r="L196" s="180" t="s">
        <v>31</v>
      </c>
      <c r="M196" s="180" t="s">
        <v>31</v>
      </c>
      <c r="N196" s="180" t="s">
        <v>31</v>
      </c>
      <c r="O196" s="180" t="s">
        <v>1959</v>
      </c>
    </row>
    <row r="197" spans="1:16" ht="15.6">
      <c r="A197" t="str">
        <f>B76</f>
        <v>treatment of composites, tail, airframe, PEMFC-bat, Long-Term</v>
      </c>
      <c r="B197" s="206">
        <v>113.56104379042669</v>
      </c>
      <c r="D197" s="180" t="s">
        <v>37</v>
      </c>
      <c r="E197" s="59" t="s">
        <v>2</v>
      </c>
      <c r="F197" s="59" t="s">
        <v>1910</v>
      </c>
      <c r="G197" s="180" t="s">
        <v>59</v>
      </c>
      <c r="H197" s="59" t="s">
        <v>33</v>
      </c>
      <c r="I197" s="59">
        <v>0</v>
      </c>
      <c r="J197" s="180" t="s">
        <v>31</v>
      </c>
      <c r="K197" s="180" t="s">
        <v>31</v>
      </c>
      <c r="L197" s="180" t="s">
        <v>31</v>
      </c>
      <c r="M197" s="180" t="s">
        <v>31</v>
      </c>
      <c r="N197" s="180" t="s">
        <v>31</v>
      </c>
      <c r="O197" s="180" t="s">
        <v>1960</v>
      </c>
    </row>
    <row r="198" spans="1:16" s="185" customFormat="1" ht="15.6">
      <c r="A198" s="182" t="s">
        <v>5</v>
      </c>
      <c r="B198" s="178" t="s">
        <v>1961</v>
      </c>
      <c r="C198" s="182"/>
      <c r="D198" s="183"/>
      <c r="E198" s="184"/>
      <c r="F198" s="184"/>
      <c r="G198" s="184"/>
      <c r="H198" s="184"/>
      <c r="I198" s="184"/>
      <c r="J198" s="184"/>
      <c r="K198" s="184"/>
      <c r="L198" s="184"/>
      <c r="M198" s="184"/>
      <c r="N198" s="184"/>
      <c r="O198" s="184"/>
      <c r="P198" s="184"/>
    </row>
    <row r="199" spans="1:16">
      <c r="A199" s="59" t="s">
        <v>7</v>
      </c>
      <c r="B199" s="59" t="s">
        <v>1873</v>
      </c>
      <c r="C199" s="59"/>
      <c r="D199" s="59"/>
      <c r="E199" s="59"/>
      <c r="F199" s="59"/>
      <c r="G199" s="59"/>
      <c r="H199" s="59"/>
      <c r="I199" s="59"/>
      <c r="J199" s="59"/>
      <c r="K199" s="59"/>
      <c r="L199" s="59"/>
      <c r="M199" s="59"/>
      <c r="N199" s="59"/>
      <c r="O199" s="59"/>
      <c r="P199" s="59"/>
    </row>
    <row r="200" spans="1:16">
      <c r="A200" s="59" t="s">
        <v>9</v>
      </c>
      <c r="B200" s="59" t="s">
        <v>1962</v>
      </c>
      <c r="C200" s="59"/>
      <c r="D200" s="59"/>
      <c r="E200" s="59"/>
      <c r="F200" s="59"/>
      <c r="G200" s="59"/>
      <c r="H200" s="59"/>
      <c r="I200" s="59"/>
      <c r="J200" s="59"/>
      <c r="K200" s="59"/>
      <c r="L200" s="59"/>
      <c r="M200" s="59"/>
      <c r="N200" s="59"/>
      <c r="O200" s="59"/>
      <c r="P200" s="59"/>
    </row>
    <row r="201" spans="1:16">
      <c r="A201" s="59" t="s">
        <v>11</v>
      </c>
      <c r="B201" s="59" t="s">
        <v>1956</v>
      </c>
      <c r="C201" s="59"/>
      <c r="D201" s="59"/>
      <c r="E201" s="59"/>
      <c r="F201" s="59"/>
      <c r="G201" s="59"/>
      <c r="H201" s="59"/>
      <c r="I201" s="59"/>
      <c r="J201" s="59"/>
      <c r="K201" s="59"/>
      <c r="L201" s="59"/>
      <c r="M201" s="59"/>
      <c r="N201" s="59"/>
      <c r="O201" s="59"/>
      <c r="P201" s="59"/>
    </row>
    <row r="202" spans="1:16">
      <c r="A202" s="59" t="s">
        <v>13</v>
      </c>
      <c r="B202" s="59" t="s">
        <v>59</v>
      </c>
      <c r="C202" s="59"/>
      <c r="D202" s="59"/>
      <c r="E202" s="59"/>
      <c r="F202" s="59"/>
      <c r="G202" s="59"/>
      <c r="H202" s="59"/>
      <c r="I202" s="59"/>
      <c r="J202" s="59"/>
      <c r="K202" s="59"/>
      <c r="L202" s="59"/>
      <c r="M202" s="59"/>
      <c r="N202" s="59"/>
      <c r="O202" s="59"/>
      <c r="P202" s="59"/>
    </row>
    <row r="203" spans="1:16">
      <c r="A203" s="59" t="s">
        <v>15</v>
      </c>
      <c r="B203" s="59">
        <v>1</v>
      </c>
      <c r="C203" s="59"/>
      <c r="D203" s="59"/>
      <c r="E203" s="59"/>
      <c r="F203" s="59"/>
      <c r="G203" s="59"/>
      <c r="H203" s="59"/>
      <c r="I203" s="59"/>
      <c r="J203" s="59"/>
      <c r="K203" s="59"/>
      <c r="L203" s="59"/>
      <c r="M203" s="59"/>
      <c r="N203" s="59"/>
      <c r="O203" s="59"/>
      <c r="P203" s="59"/>
    </row>
    <row r="204" spans="1:16">
      <c r="A204" s="59" t="s">
        <v>16</v>
      </c>
      <c r="B204" s="59" t="s">
        <v>17</v>
      </c>
      <c r="C204" s="59"/>
      <c r="D204" s="59"/>
      <c r="E204" s="59"/>
      <c r="F204" s="59"/>
      <c r="G204" s="59"/>
      <c r="H204" s="59"/>
      <c r="I204" s="59"/>
      <c r="J204" s="59"/>
      <c r="K204" s="59"/>
      <c r="L204" s="59"/>
      <c r="M204" s="59"/>
      <c r="N204" s="59"/>
      <c r="O204" s="59"/>
      <c r="P204" s="59"/>
    </row>
    <row r="205" spans="1:16" ht="15.6">
      <c r="A205" s="59" t="s">
        <v>18</v>
      </c>
      <c r="B205" s="180" t="s">
        <v>18</v>
      </c>
      <c r="C205" s="59"/>
      <c r="D205" s="59"/>
      <c r="E205" s="59" t="s">
        <v>235</v>
      </c>
      <c r="F205" s="59"/>
      <c r="G205" s="59"/>
      <c r="H205" s="59"/>
      <c r="I205" s="59"/>
      <c r="J205" s="59"/>
      <c r="K205" s="59"/>
      <c r="L205" s="59"/>
      <c r="M205" s="59"/>
      <c r="N205" s="59"/>
      <c r="O205" s="59"/>
      <c r="P205" s="59"/>
    </row>
    <row r="206" spans="1:16" ht="15.6">
      <c r="A206" s="181" t="s">
        <v>19</v>
      </c>
      <c r="B206" s="59"/>
      <c r="C206" s="59"/>
      <c r="D206" s="59"/>
      <c r="E206" s="59"/>
      <c r="F206" s="59"/>
      <c r="G206" s="59"/>
      <c r="H206" s="59"/>
      <c r="I206" s="59"/>
      <c r="J206" s="59"/>
      <c r="K206" s="59"/>
      <c r="L206" s="59"/>
      <c r="M206" s="59"/>
      <c r="N206" s="59"/>
      <c r="O206" s="59"/>
      <c r="P206" s="59"/>
    </row>
    <row r="207" spans="1:16" ht="15.6">
      <c r="A207" s="181" t="s">
        <v>20</v>
      </c>
      <c r="B207" s="181" t="s">
        <v>21</v>
      </c>
      <c r="C207" s="181" t="s">
        <v>217</v>
      </c>
      <c r="D207" s="181" t="s">
        <v>18</v>
      </c>
      <c r="E207" s="181" t="s">
        <v>22</v>
      </c>
      <c r="F207" s="181" t="s">
        <v>7</v>
      </c>
      <c r="G207" s="181" t="s">
        <v>13</v>
      </c>
      <c r="H207" s="181" t="s">
        <v>16</v>
      </c>
      <c r="I207" s="181" t="s">
        <v>23</v>
      </c>
      <c r="J207" s="181" t="s">
        <v>24</v>
      </c>
      <c r="K207" s="181" t="s">
        <v>25</v>
      </c>
      <c r="L207" s="181" t="s">
        <v>26</v>
      </c>
      <c r="M207" s="181" t="s">
        <v>27</v>
      </c>
      <c r="N207" s="181" t="s">
        <v>28</v>
      </c>
      <c r="O207" s="181" t="s">
        <v>11</v>
      </c>
      <c r="P207" s="181" t="s">
        <v>702</v>
      </c>
    </row>
    <row r="208" spans="1:16" ht="15.6">
      <c r="A208" s="180" t="str">
        <f>B198</f>
        <v>treatment fuselage , airframe, PEMFC-bat, Long-Term</v>
      </c>
      <c r="B208">
        <v>1</v>
      </c>
      <c r="C208" s="180"/>
      <c r="D208" s="180" t="s">
        <v>18</v>
      </c>
      <c r="E208" s="59" t="s">
        <v>2</v>
      </c>
      <c r="F208" s="59" t="s">
        <v>1910</v>
      </c>
      <c r="G208" s="180" t="s">
        <v>59</v>
      </c>
      <c r="H208" s="59" t="s">
        <v>30</v>
      </c>
      <c r="I208" s="59">
        <v>0</v>
      </c>
      <c r="J208" s="180" t="s">
        <v>31</v>
      </c>
      <c r="K208" s="180" t="s">
        <v>31</v>
      </c>
      <c r="L208" s="180" t="s">
        <v>31</v>
      </c>
      <c r="M208" s="180" t="s">
        <v>31</v>
      </c>
      <c r="N208" s="180" t="s">
        <v>31</v>
      </c>
      <c r="O208" s="180"/>
      <c r="P208" s="59"/>
    </row>
    <row r="209" spans="1:16" ht="15.6">
      <c r="A209" t="str">
        <f>B91</f>
        <v>treatment of aluminium, fuselage, airframe, PEMFC-bat, Long-Term</v>
      </c>
      <c r="B209" s="206">
        <v>256.49068403101234</v>
      </c>
      <c r="D209" s="180" t="s">
        <v>37</v>
      </c>
      <c r="E209" s="59" t="s">
        <v>2</v>
      </c>
      <c r="F209" s="59" t="s">
        <v>1910</v>
      </c>
      <c r="G209" s="180" t="s">
        <v>59</v>
      </c>
      <c r="H209" s="59" t="s">
        <v>33</v>
      </c>
      <c r="I209" s="59">
        <v>0</v>
      </c>
      <c r="J209" s="180" t="s">
        <v>31</v>
      </c>
      <c r="K209" s="180" t="s">
        <v>31</v>
      </c>
      <c r="L209" s="180" t="s">
        <v>31</v>
      </c>
      <c r="M209" s="180" t="s">
        <v>31</v>
      </c>
      <c r="N209" s="180" t="s">
        <v>31</v>
      </c>
    </row>
    <row r="210" spans="1:16" ht="15.6">
      <c r="A210" t="str">
        <f>B106</f>
        <v>treatment of composites, fuselage, airframe, PEMFC-bat, Long-Term</v>
      </c>
      <c r="B210" s="206">
        <v>2695.9700171911131</v>
      </c>
      <c r="D210" s="180" t="s">
        <v>37</v>
      </c>
      <c r="E210" s="59" t="s">
        <v>2</v>
      </c>
      <c r="F210" s="59" t="s">
        <v>1910</v>
      </c>
      <c r="G210" s="180" t="s">
        <v>59</v>
      </c>
      <c r="H210" s="59" t="s">
        <v>33</v>
      </c>
      <c r="I210" s="59">
        <v>0</v>
      </c>
      <c r="J210" s="180" t="s">
        <v>31</v>
      </c>
      <c r="K210" s="180" t="s">
        <v>31</v>
      </c>
      <c r="L210" s="180" t="s">
        <v>31</v>
      </c>
      <c r="M210" s="180" t="s">
        <v>31</v>
      </c>
      <c r="N210" s="180" t="s">
        <v>31</v>
      </c>
      <c r="O210" s="180" t="s">
        <v>1959</v>
      </c>
    </row>
    <row r="211" spans="1:16" ht="15.6">
      <c r="A211" t="str">
        <f>B106</f>
        <v>treatment of composites, fuselage, airframe, PEMFC-bat, Long-Term</v>
      </c>
      <c r="B211" s="206">
        <v>89.302798684691268</v>
      </c>
      <c r="D211" s="180" t="s">
        <v>37</v>
      </c>
      <c r="E211" s="59" t="s">
        <v>2</v>
      </c>
      <c r="F211" s="59" t="s">
        <v>1910</v>
      </c>
      <c r="G211" s="180" t="s">
        <v>59</v>
      </c>
      <c r="H211" s="59" t="s">
        <v>33</v>
      </c>
      <c r="I211" s="59">
        <v>0</v>
      </c>
      <c r="J211" s="180" t="s">
        <v>31</v>
      </c>
      <c r="K211" s="180" t="s">
        <v>31</v>
      </c>
      <c r="L211" s="180" t="s">
        <v>31</v>
      </c>
      <c r="M211" s="180" t="s">
        <v>31</v>
      </c>
      <c r="N211" s="180" t="s">
        <v>31</v>
      </c>
      <c r="O211" s="180" t="s">
        <v>1960</v>
      </c>
    </row>
    <row r="212" spans="1:16" ht="15.6">
      <c r="A212" t="str">
        <f>B121</f>
        <v>treatment of steel, fuselage, airframe, PEMFC-bat, Long-Term</v>
      </c>
      <c r="B212" s="206">
        <v>1034.4613440124815</v>
      </c>
      <c r="D212" s="180" t="s">
        <v>37</v>
      </c>
      <c r="E212" s="59" t="s">
        <v>2</v>
      </c>
      <c r="F212" s="59" t="s">
        <v>1910</v>
      </c>
      <c r="G212" s="180" t="s">
        <v>59</v>
      </c>
      <c r="H212" s="59" t="s">
        <v>33</v>
      </c>
      <c r="I212" s="59">
        <v>0</v>
      </c>
      <c r="J212" s="180" t="s">
        <v>31</v>
      </c>
      <c r="K212" s="180" t="s">
        <v>31</v>
      </c>
      <c r="L212" s="180" t="s">
        <v>31</v>
      </c>
      <c r="M212" s="180" t="s">
        <v>31</v>
      </c>
      <c r="N212" s="180" t="s">
        <v>31</v>
      </c>
    </row>
    <row r="213" spans="1:16" ht="15.95" thickBot="1">
      <c r="A213" t="str">
        <f>B135</f>
        <v>treatment of titanium, fuselage, airframe, PEMFC-bat, Long-Term</v>
      </c>
      <c r="B213" s="207">
        <v>198.17515608070178</v>
      </c>
      <c r="D213" s="180" t="s">
        <v>37</v>
      </c>
      <c r="E213" s="59" t="s">
        <v>2</v>
      </c>
      <c r="F213" s="59" t="s">
        <v>1910</v>
      </c>
      <c r="G213" s="180" t="s">
        <v>59</v>
      </c>
      <c r="H213" s="59" t="s">
        <v>33</v>
      </c>
      <c r="I213" s="59">
        <v>0</v>
      </c>
      <c r="J213" s="180" t="s">
        <v>31</v>
      </c>
      <c r="K213" s="180" t="s">
        <v>31</v>
      </c>
      <c r="L213" s="180" t="s">
        <v>31</v>
      </c>
      <c r="M213" s="180" t="s">
        <v>31</v>
      </c>
      <c r="N213" s="180" t="s">
        <v>31</v>
      </c>
    </row>
    <row r="214" spans="1:16" s="185" customFormat="1" ht="15.6">
      <c r="A214" s="182" t="s">
        <v>5</v>
      </c>
      <c r="B214" s="178" t="s">
        <v>1963</v>
      </c>
      <c r="C214" s="182"/>
      <c r="D214" s="183"/>
      <c r="E214" s="184"/>
      <c r="F214" s="184"/>
      <c r="G214" s="184"/>
      <c r="H214" s="184"/>
      <c r="I214" s="184"/>
      <c r="J214" s="184"/>
      <c r="K214" s="184"/>
      <c r="L214" s="184"/>
      <c r="M214" s="184"/>
      <c r="N214" s="184"/>
      <c r="O214" s="184"/>
      <c r="P214" s="184"/>
    </row>
    <row r="215" spans="1:16">
      <c r="A215" s="59" t="s">
        <v>7</v>
      </c>
      <c r="B215" s="59" t="s">
        <v>1873</v>
      </c>
      <c r="C215" s="59"/>
      <c r="D215" s="59"/>
      <c r="E215" s="59"/>
      <c r="F215" s="59"/>
      <c r="G215" s="59"/>
      <c r="H215" s="59"/>
      <c r="I215" s="59"/>
      <c r="J215" s="59"/>
      <c r="K215" s="59"/>
      <c r="L215" s="59"/>
      <c r="M215" s="59"/>
      <c r="N215" s="59"/>
      <c r="O215" s="59"/>
      <c r="P215" s="59"/>
    </row>
    <row r="216" spans="1:16">
      <c r="A216" s="59" t="s">
        <v>9</v>
      </c>
      <c r="B216" s="59" t="s">
        <v>1964</v>
      </c>
      <c r="C216" s="59"/>
      <c r="D216" s="59"/>
      <c r="E216" s="59"/>
      <c r="F216" s="59"/>
      <c r="G216" s="59"/>
      <c r="H216" s="59"/>
      <c r="I216" s="59"/>
      <c r="J216" s="59"/>
      <c r="K216" s="59"/>
      <c r="L216" s="59"/>
      <c r="M216" s="59"/>
      <c r="N216" s="59"/>
      <c r="O216" s="59"/>
      <c r="P216" s="59"/>
    </row>
    <row r="217" spans="1:16">
      <c r="A217" s="59" t="s">
        <v>11</v>
      </c>
      <c r="B217" s="59" t="s">
        <v>1956</v>
      </c>
      <c r="C217" s="59"/>
      <c r="D217" s="59"/>
      <c r="E217" s="59"/>
      <c r="F217" s="59"/>
      <c r="G217" s="59"/>
      <c r="H217" s="59"/>
      <c r="I217" s="59"/>
      <c r="J217" s="59"/>
      <c r="K217" s="59"/>
      <c r="L217" s="59"/>
      <c r="M217" s="59"/>
      <c r="N217" s="59"/>
      <c r="O217" s="59"/>
      <c r="P217" s="59"/>
    </row>
    <row r="218" spans="1:16">
      <c r="A218" s="59" t="s">
        <v>13</v>
      </c>
      <c r="B218" s="59" t="s">
        <v>59</v>
      </c>
      <c r="C218" s="59"/>
      <c r="D218" s="59"/>
      <c r="E218" s="59"/>
      <c r="F218" s="59"/>
      <c r="G218" s="59"/>
      <c r="H218" s="59"/>
      <c r="I218" s="59"/>
      <c r="J218" s="59"/>
      <c r="K218" s="59"/>
      <c r="L218" s="59"/>
      <c r="M218" s="59"/>
      <c r="N218" s="59"/>
      <c r="O218" s="59"/>
      <c r="P218" s="59"/>
    </row>
    <row r="219" spans="1:16">
      <c r="A219" s="59" t="s">
        <v>15</v>
      </c>
      <c r="B219" s="59">
        <v>1</v>
      </c>
      <c r="C219" s="59"/>
      <c r="D219" s="59"/>
      <c r="E219" s="59"/>
      <c r="F219" s="59"/>
      <c r="G219" s="59"/>
      <c r="H219" s="59"/>
      <c r="I219" s="59"/>
      <c r="J219" s="59"/>
      <c r="K219" s="59"/>
      <c r="L219" s="59"/>
      <c r="M219" s="59"/>
      <c r="N219" s="59"/>
      <c r="O219" s="59"/>
      <c r="P219" s="59"/>
    </row>
    <row r="220" spans="1:16">
      <c r="A220" s="59" t="s">
        <v>16</v>
      </c>
      <c r="B220" s="59" t="s">
        <v>17</v>
      </c>
      <c r="C220" s="59"/>
      <c r="D220" s="59"/>
      <c r="E220" s="59"/>
      <c r="F220" s="59"/>
      <c r="G220" s="59"/>
      <c r="H220" s="59"/>
      <c r="I220" s="59"/>
      <c r="J220" s="59"/>
      <c r="K220" s="59"/>
      <c r="L220" s="59"/>
      <c r="M220" s="59"/>
      <c r="N220" s="59"/>
      <c r="O220" s="59"/>
      <c r="P220" s="59"/>
    </row>
    <row r="221" spans="1:16" ht="15.6">
      <c r="A221" s="59" t="s">
        <v>18</v>
      </c>
      <c r="B221" s="180" t="s">
        <v>18</v>
      </c>
      <c r="C221" s="59"/>
      <c r="D221" s="59"/>
      <c r="E221" s="59" t="s">
        <v>235</v>
      </c>
      <c r="F221" s="59"/>
      <c r="G221" s="59"/>
      <c r="H221" s="59"/>
      <c r="I221" s="59"/>
      <c r="J221" s="59"/>
      <c r="K221" s="59"/>
      <c r="L221" s="59"/>
      <c r="M221" s="59"/>
      <c r="N221" s="59"/>
      <c r="O221" s="59"/>
      <c r="P221" s="59"/>
    </row>
    <row r="222" spans="1:16" ht="15.6">
      <c r="A222" s="181" t="s">
        <v>19</v>
      </c>
      <c r="B222" s="59"/>
      <c r="C222" s="59"/>
      <c r="D222" s="59"/>
      <c r="E222" s="59"/>
      <c r="F222" s="59"/>
      <c r="G222" s="59"/>
      <c r="H222" s="59"/>
      <c r="I222" s="59"/>
      <c r="J222" s="59"/>
      <c r="K222" s="59"/>
      <c r="L222" s="59"/>
      <c r="M222" s="59"/>
      <c r="N222" s="59"/>
      <c r="O222" s="59"/>
      <c r="P222" s="59"/>
    </row>
    <row r="223" spans="1:16" ht="15.6">
      <c r="A223" s="181" t="s">
        <v>20</v>
      </c>
      <c r="B223" s="181" t="s">
        <v>21</v>
      </c>
      <c r="C223" s="181" t="s">
        <v>217</v>
      </c>
      <c r="D223" s="181" t="s">
        <v>18</v>
      </c>
      <c r="E223" s="181" t="s">
        <v>22</v>
      </c>
      <c r="F223" s="181" t="s">
        <v>7</v>
      </c>
      <c r="G223" s="181" t="s">
        <v>13</v>
      </c>
      <c r="H223" s="181" t="s">
        <v>16</v>
      </c>
      <c r="I223" s="181" t="s">
        <v>23</v>
      </c>
      <c r="J223" s="181" t="s">
        <v>24</v>
      </c>
      <c r="K223" s="181" t="s">
        <v>25</v>
      </c>
      <c r="L223" s="181" t="s">
        <v>26</v>
      </c>
      <c r="M223" s="181" t="s">
        <v>27</v>
      </c>
      <c r="N223" s="181" t="s">
        <v>28</v>
      </c>
      <c r="O223" s="181" t="s">
        <v>11</v>
      </c>
      <c r="P223" s="181" t="s">
        <v>702</v>
      </c>
    </row>
    <row r="224" spans="1:16" ht="15.95" thickBot="1">
      <c r="A224" s="180" t="str">
        <f>B214</f>
        <v>treatment systems, airframe, PEMFC-bat, Long-Term</v>
      </c>
      <c r="B224">
        <v>1</v>
      </c>
      <c r="C224" s="180"/>
      <c r="D224" s="180" t="s">
        <v>18</v>
      </c>
      <c r="E224" s="59" t="s">
        <v>2</v>
      </c>
      <c r="F224" s="59" t="s">
        <v>1910</v>
      </c>
      <c r="G224" s="180" t="s">
        <v>59</v>
      </c>
      <c r="H224" s="59" t="s">
        <v>30</v>
      </c>
      <c r="I224" s="59">
        <v>0</v>
      </c>
      <c r="J224" s="180" t="s">
        <v>31</v>
      </c>
      <c r="K224" s="180" t="s">
        <v>31</v>
      </c>
      <c r="L224" s="180" t="s">
        <v>31</v>
      </c>
      <c r="M224" s="180" t="s">
        <v>31</v>
      </c>
      <c r="N224" s="180" t="s">
        <v>31</v>
      </c>
      <c r="O224" s="180"/>
      <c r="P224" s="59"/>
    </row>
    <row r="225" spans="1:16" ht="15.6">
      <c r="A225" t="s">
        <v>1930</v>
      </c>
      <c r="B225" s="208">
        <v>232.2759999999999</v>
      </c>
      <c r="D225" t="s">
        <v>37</v>
      </c>
      <c r="E225" s="59" t="s">
        <v>2</v>
      </c>
      <c r="F225" s="59" t="s">
        <v>1910</v>
      </c>
      <c r="G225" s="180" t="s">
        <v>59</v>
      </c>
      <c r="H225" t="s">
        <v>33</v>
      </c>
      <c r="I225" s="59">
        <v>0</v>
      </c>
      <c r="J225" s="180" t="s">
        <v>31</v>
      </c>
      <c r="K225" s="180" t="s">
        <v>31</v>
      </c>
      <c r="L225" s="180" t="s">
        <v>31</v>
      </c>
      <c r="M225" s="180" t="s">
        <v>31</v>
      </c>
      <c r="N225" s="180" t="s">
        <v>31</v>
      </c>
      <c r="O225" t="s">
        <v>1965</v>
      </c>
    </row>
    <row r="226" spans="1:16" ht="15.6">
      <c r="A226" t="s">
        <v>1933</v>
      </c>
      <c r="B226" s="198">
        <v>9.6687499999999993</v>
      </c>
      <c r="D226" t="s">
        <v>37</v>
      </c>
      <c r="E226" s="59" t="s">
        <v>2</v>
      </c>
      <c r="F226" s="59" t="s">
        <v>1910</v>
      </c>
      <c r="G226" s="180" t="s">
        <v>59</v>
      </c>
      <c r="H226" t="s">
        <v>33</v>
      </c>
      <c r="I226" s="59">
        <v>0</v>
      </c>
      <c r="J226" s="180" t="s">
        <v>31</v>
      </c>
      <c r="K226" s="180" t="s">
        <v>31</v>
      </c>
      <c r="L226" s="180" t="s">
        <v>31</v>
      </c>
      <c r="M226" s="180" t="s">
        <v>31</v>
      </c>
      <c r="N226" s="180" t="s">
        <v>31</v>
      </c>
    </row>
    <row r="227" spans="1:16" ht="15.6">
      <c r="A227" s="180" t="s">
        <v>1894</v>
      </c>
      <c r="B227" s="198">
        <v>145.42599999999999</v>
      </c>
      <c r="C227" s="180"/>
      <c r="D227" t="s">
        <v>37</v>
      </c>
      <c r="E227" s="59" t="s">
        <v>2</v>
      </c>
      <c r="F227" s="59" t="s">
        <v>1910</v>
      </c>
      <c r="G227" s="180" t="s">
        <v>59</v>
      </c>
      <c r="H227" t="s">
        <v>33</v>
      </c>
      <c r="I227" s="59">
        <v>0</v>
      </c>
      <c r="J227" s="180" t="s">
        <v>31</v>
      </c>
      <c r="K227" s="180" t="s">
        <v>31</v>
      </c>
      <c r="L227" s="180" t="s">
        <v>31</v>
      </c>
      <c r="M227" s="180" t="s">
        <v>31</v>
      </c>
      <c r="N227" s="180" t="s">
        <v>31</v>
      </c>
      <c r="O227" s="59" t="s">
        <v>1966</v>
      </c>
    </row>
    <row r="228" spans="1:16" ht="15.6">
      <c r="A228" t="s">
        <v>395</v>
      </c>
      <c r="B228" s="198">
        <v>-1496.6</v>
      </c>
      <c r="D228" t="s">
        <v>37</v>
      </c>
      <c r="E228" s="88" t="s">
        <v>40</v>
      </c>
      <c r="F228" s="59" t="s">
        <v>1910</v>
      </c>
      <c r="G228" s="180" t="s">
        <v>82</v>
      </c>
      <c r="H228" t="s">
        <v>33</v>
      </c>
      <c r="I228" s="59">
        <v>0</v>
      </c>
      <c r="J228" s="180" t="s">
        <v>31</v>
      </c>
      <c r="K228" s="180" t="s">
        <v>31</v>
      </c>
      <c r="L228" s="180" t="s">
        <v>31</v>
      </c>
      <c r="M228" s="180" t="s">
        <v>31</v>
      </c>
      <c r="N228" s="180" t="s">
        <v>31</v>
      </c>
    </row>
    <row r="229" spans="1:16" ht="15.6">
      <c r="A229" t="s">
        <v>1933</v>
      </c>
      <c r="B229" s="198">
        <v>176.042</v>
      </c>
      <c r="D229" t="s">
        <v>37</v>
      </c>
      <c r="E229" s="59" t="s">
        <v>2</v>
      </c>
      <c r="F229" s="59" t="s">
        <v>1910</v>
      </c>
      <c r="G229" s="180" t="s">
        <v>59</v>
      </c>
      <c r="H229" t="s">
        <v>33</v>
      </c>
      <c r="I229" s="59">
        <v>0</v>
      </c>
      <c r="J229" s="180" t="s">
        <v>31</v>
      </c>
      <c r="K229" s="180" t="s">
        <v>31</v>
      </c>
      <c r="L229" s="180" t="s">
        <v>31</v>
      </c>
      <c r="M229" s="180" t="s">
        <v>31</v>
      </c>
      <c r="N229" s="180" t="s">
        <v>31</v>
      </c>
    </row>
    <row r="230" spans="1:16" ht="15.6">
      <c r="A230" t="s">
        <v>1935</v>
      </c>
      <c r="B230" s="198">
        <v>706.14499999999998</v>
      </c>
      <c r="D230" t="s">
        <v>37</v>
      </c>
      <c r="E230" s="59" t="s">
        <v>2</v>
      </c>
      <c r="F230" s="59" t="s">
        <v>1910</v>
      </c>
      <c r="G230" s="180" t="s">
        <v>59</v>
      </c>
      <c r="H230" t="s">
        <v>33</v>
      </c>
      <c r="I230" s="59">
        <v>0</v>
      </c>
      <c r="J230" s="180" t="s">
        <v>31</v>
      </c>
      <c r="K230" s="180" t="s">
        <v>31</v>
      </c>
      <c r="L230" s="180" t="s">
        <v>31</v>
      </c>
      <c r="M230" s="180" t="s">
        <v>31</v>
      </c>
      <c r="N230" s="180" t="s">
        <v>31</v>
      </c>
    </row>
    <row r="231" spans="1:16" ht="15.95" thickBot="1">
      <c r="A231" t="s">
        <v>1933</v>
      </c>
      <c r="B231" s="209">
        <v>48.343999999999937</v>
      </c>
      <c r="D231" t="s">
        <v>37</v>
      </c>
      <c r="E231" s="59" t="s">
        <v>2</v>
      </c>
      <c r="F231" s="59" t="s">
        <v>1910</v>
      </c>
      <c r="G231" s="180" t="s">
        <v>59</v>
      </c>
      <c r="H231" t="s">
        <v>33</v>
      </c>
      <c r="I231" s="59">
        <v>0</v>
      </c>
      <c r="J231" s="180" t="s">
        <v>31</v>
      </c>
      <c r="K231" s="180" t="s">
        <v>31</v>
      </c>
      <c r="L231" s="180" t="s">
        <v>31</v>
      </c>
      <c r="M231" s="180" t="s">
        <v>31</v>
      </c>
      <c r="N231" s="180" t="s">
        <v>31</v>
      </c>
    </row>
    <row r="232" spans="1:16" s="70" customFormat="1" ht="15.6">
      <c r="A232" s="178" t="s">
        <v>5</v>
      </c>
      <c r="B232" s="178" t="s">
        <v>1967</v>
      </c>
      <c r="C232" s="178"/>
      <c r="D232" s="69"/>
      <c r="E232" s="144"/>
      <c r="F232" s="144"/>
      <c r="G232" s="144"/>
      <c r="H232" s="144"/>
      <c r="I232" s="144"/>
      <c r="J232" s="144"/>
      <c r="K232" s="144"/>
      <c r="L232" s="144"/>
      <c r="M232" s="144"/>
      <c r="N232" s="144"/>
      <c r="O232" s="144"/>
      <c r="P232" s="144"/>
    </row>
    <row r="233" spans="1:16">
      <c r="A233" s="59" t="s">
        <v>7</v>
      </c>
      <c r="B233" s="59" t="s">
        <v>1873</v>
      </c>
      <c r="C233" s="59"/>
      <c r="D233" s="59"/>
      <c r="E233" s="59"/>
      <c r="F233" s="59"/>
      <c r="G233" s="59"/>
      <c r="H233" s="59"/>
      <c r="I233" s="59"/>
      <c r="J233" s="59"/>
      <c r="K233" s="59"/>
      <c r="L233" s="59"/>
      <c r="M233" s="59"/>
      <c r="N233" s="59"/>
      <c r="O233" s="59"/>
      <c r="P233" s="59"/>
    </row>
    <row r="234" spans="1:16">
      <c r="A234" s="59" t="s">
        <v>9</v>
      </c>
      <c r="B234" s="59" t="s">
        <v>1968</v>
      </c>
      <c r="C234" s="59"/>
      <c r="D234" s="59"/>
      <c r="E234" s="59"/>
      <c r="F234" s="59"/>
      <c r="G234" s="59"/>
      <c r="H234" s="59"/>
      <c r="I234" s="59"/>
      <c r="J234" s="59"/>
      <c r="K234" s="59"/>
      <c r="L234" s="59"/>
      <c r="M234" s="59"/>
      <c r="N234" s="59"/>
      <c r="O234" s="59"/>
      <c r="P234" s="59"/>
    </row>
    <row r="235" spans="1:16">
      <c r="A235" s="59" t="s">
        <v>11</v>
      </c>
      <c r="B235" s="59" t="s">
        <v>1956</v>
      </c>
      <c r="C235" s="59"/>
      <c r="D235" s="59"/>
      <c r="E235" s="59"/>
      <c r="F235" s="59"/>
      <c r="G235" s="59"/>
      <c r="H235" s="59"/>
      <c r="I235" s="59"/>
      <c r="J235" s="59"/>
      <c r="K235" s="59"/>
      <c r="L235" s="59"/>
      <c r="M235" s="59"/>
      <c r="N235" s="59"/>
      <c r="O235" s="59"/>
      <c r="P235" s="59"/>
    </row>
    <row r="236" spans="1:16">
      <c r="A236" s="59" t="s">
        <v>13</v>
      </c>
      <c r="B236" s="59" t="s">
        <v>59</v>
      </c>
      <c r="C236" s="59"/>
      <c r="D236" s="59"/>
      <c r="E236" s="59"/>
      <c r="F236" s="59"/>
      <c r="G236" s="59"/>
      <c r="H236" s="59"/>
      <c r="I236" s="59"/>
      <c r="J236" s="59"/>
      <c r="K236" s="59"/>
      <c r="L236" s="59"/>
      <c r="M236" s="59"/>
      <c r="N236" s="59"/>
      <c r="O236" s="59"/>
      <c r="P236" s="59"/>
    </row>
    <row r="237" spans="1:16">
      <c r="A237" s="59" t="s">
        <v>15</v>
      </c>
      <c r="B237" s="59">
        <v>1</v>
      </c>
      <c r="C237" s="59"/>
      <c r="D237" s="59"/>
      <c r="E237" s="59"/>
      <c r="F237" s="59"/>
      <c r="G237" s="59"/>
      <c r="H237" s="59"/>
      <c r="I237" s="59"/>
      <c r="J237" s="59"/>
      <c r="K237" s="59"/>
      <c r="L237" s="59"/>
      <c r="M237" s="59"/>
      <c r="N237" s="59"/>
      <c r="O237" s="59"/>
      <c r="P237" s="59"/>
    </row>
    <row r="238" spans="1:16">
      <c r="A238" s="59" t="s">
        <v>16</v>
      </c>
      <c r="B238" s="59" t="s">
        <v>17</v>
      </c>
      <c r="C238" s="59"/>
      <c r="D238" s="59"/>
      <c r="E238" s="59"/>
      <c r="F238" s="59"/>
      <c r="G238" s="59"/>
      <c r="H238" s="59"/>
      <c r="I238" s="59"/>
      <c r="J238" s="59"/>
      <c r="K238" s="59"/>
      <c r="L238" s="59"/>
      <c r="M238" s="59"/>
      <c r="N238" s="59"/>
      <c r="O238" s="59"/>
      <c r="P238" s="59"/>
    </row>
    <row r="239" spans="1:16" ht="15.6">
      <c r="A239" s="59" t="s">
        <v>18</v>
      </c>
      <c r="B239" s="180" t="s">
        <v>18</v>
      </c>
      <c r="C239" s="59"/>
      <c r="D239" s="59"/>
      <c r="E239" s="59" t="s">
        <v>235</v>
      </c>
      <c r="F239" s="59"/>
      <c r="G239" s="59"/>
      <c r="H239" s="59"/>
      <c r="I239" s="59"/>
      <c r="J239" s="59"/>
      <c r="K239" s="59"/>
      <c r="L239" s="59"/>
      <c r="M239" s="59"/>
      <c r="N239" s="59"/>
      <c r="O239" s="59"/>
      <c r="P239" s="59"/>
    </row>
    <row r="240" spans="1:16" ht="15.6">
      <c r="A240" s="181" t="s">
        <v>19</v>
      </c>
      <c r="B240" s="59"/>
      <c r="C240" s="59"/>
      <c r="D240" s="59"/>
      <c r="E240" s="59"/>
      <c r="F240" s="59"/>
      <c r="G240" s="59"/>
      <c r="H240" s="59"/>
      <c r="I240" s="59"/>
      <c r="J240" s="59"/>
      <c r="K240" s="59"/>
      <c r="L240" s="59"/>
      <c r="M240" s="59"/>
      <c r="N240" s="59"/>
      <c r="O240" s="59"/>
      <c r="P240" s="59"/>
    </row>
    <row r="241" spans="1:16" ht="15.6">
      <c r="A241" s="181" t="s">
        <v>20</v>
      </c>
      <c r="B241" s="181" t="s">
        <v>21</v>
      </c>
      <c r="C241" s="181" t="s">
        <v>217</v>
      </c>
      <c r="D241" s="181" t="s">
        <v>18</v>
      </c>
      <c r="E241" s="181" t="s">
        <v>22</v>
      </c>
      <c r="F241" s="181" t="s">
        <v>7</v>
      </c>
      <c r="G241" s="181" t="s">
        <v>13</v>
      </c>
      <c r="H241" s="181" t="s">
        <v>16</v>
      </c>
      <c r="I241" s="181" t="s">
        <v>23</v>
      </c>
      <c r="J241" s="181" t="s">
        <v>24</v>
      </c>
      <c r="K241" s="181" t="s">
        <v>25</v>
      </c>
      <c r="L241" s="181" t="s">
        <v>26</v>
      </c>
      <c r="M241" s="181" t="s">
        <v>27</v>
      </c>
      <c r="N241" s="181" t="s">
        <v>28</v>
      </c>
      <c r="O241" s="181" t="s">
        <v>11</v>
      </c>
      <c r="P241" s="181" t="s">
        <v>702</v>
      </c>
    </row>
    <row r="242" spans="1:16" ht="15.6">
      <c r="A242" s="180" t="str">
        <f>B232</f>
        <v>treatment of airframe , PEMFC-bat, Long-Term</v>
      </c>
      <c r="B242">
        <v>1</v>
      </c>
      <c r="C242" s="180"/>
      <c r="D242" s="180" t="s">
        <v>18</v>
      </c>
      <c r="E242" s="59" t="s">
        <v>2</v>
      </c>
      <c r="F242" s="59" t="s">
        <v>1910</v>
      </c>
      <c r="G242" s="180" t="s">
        <v>59</v>
      </c>
      <c r="H242" s="59" t="s">
        <v>30</v>
      </c>
      <c r="I242" s="59">
        <v>0</v>
      </c>
      <c r="J242" s="180" t="s">
        <v>31</v>
      </c>
      <c r="K242" s="180" t="s">
        <v>31</v>
      </c>
      <c r="L242" s="180" t="s">
        <v>31</v>
      </c>
      <c r="M242" s="180" t="s">
        <v>31</v>
      </c>
      <c r="N242" s="180" t="s">
        <v>31</v>
      </c>
      <c r="O242" s="180"/>
      <c r="P242" s="59"/>
    </row>
    <row r="243" spans="1:16">
      <c r="A243" t="str">
        <f>A208</f>
        <v>treatment fuselage , airframe, PEMFC-bat, Long-Term</v>
      </c>
      <c r="B243">
        <f t="shared" ref="B243:N243" si="1">B208</f>
        <v>1</v>
      </c>
      <c r="D243" t="str">
        <f t="shared" si="1"/>
        <v>unit</v>
      </c>
      <c r="E243" t="str">
        <f t="shared" si="1"/>
        <v>GENESIS_2050_PEMFC-bat_Base</v>
      </c>
      <c r="F243" s="59" t="s">
        <v>1910</v>
      </c>
      <c r="G243" t="str">
        <f t="shared" si="1"/>
        <v>GLO</v>
      </c>
      <c r="H243" t="s">
        <v>33</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PEMFC-bat, Long-Term</v>
      </c>
      <c r="B244">
        <f t="shared" ref="B244:N244" si="2">B194</f>
        <v>1</v>
      </c>
      <c r="D244" t="str">
        <f t="shared" si="2"/>
        <v>unit</v>
      </c>
      <c r="E244" t="str">
        <f t="shared" si="2"/>
        <v>GENESIS_2050_PEMFC-bat_Base</v>
      </c>
      <c r="F244" s="59" t="s">
        <v>1910</v>
      </c>
      <c r="G244" t="str">
        <f t="shared" si="2"/>
        <v>GLO</v>
      </c>
      <c r="H244" t="s">
        <v>33</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PEMFC-bat, Long-Term</v>
      </c>
      <c r="B245">
        <f t="shared" ref="B245:N245" si="3">B179</f>
        <v>1</v>
      </c>
      <c r="D245" t="str">
        <f t="shared" si="3"/>
        <v>unit</v>
      </c>
      <c r="E245" t="str">
        <f t="shared" si="3"/>
        <v>GENESIS_2050_PEMFC-bat_Base</v>
      </c>
      <c r="F245" s="59" t="s">
        <v>1910</v>
      </c>
      <c r="G245" t="str">
        <f t="shared" si="3"/>
        <v>GLO</v>
      </c>
      <c r="H245" t="s">
        <v>33</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system, frunishing and, operative equipment, airframe, PEMFC-bat, Long-Term</v>
      </c>
      <c r="B246">
        <f t="shared" ref="B246:N246" si="4">B159</f>
        <v>1</v>
      </c>
      <c r="D246" t="str">
        <f t="shared" si="4"/>
        <v>kilogram</v>
      </c>
      <c r="E246" t="str">
        <f t="shared" si="4"/>
        <v>GENESIS_2050_PEMFC-bat_Base</v>
      </c>
      <c r="F246" s="59" t="s">
        <v>1910</v>
      </c>
      <c r="G246" t="str">
        <f t="shared" si="4"/>
        <v>GLO</v>
      </c>
      <c r="H246" t="s">
        <v>33</v>
      </c>
      <c r="I246">
        <f t="shared" si="4"/>
        <v>0</v>
      </c>
      <c r="J246" t="str">
        <f t="shared" si="4"/>
        <v>(Unknown)</v>
      </c>
      <c r="K246" t="str">
        <f t="shared" si="4"/>
        <v>(Unknown)</v>
      </c>
      <c r="L246" t="str">
        <f t="shared" si="4"/>
        <v>(Unknown)</v>
      </c>
      <c r="M246" t="str">
        <f t="shared" si="4"/>
        <v>(Unknown)</v>
      </c>
      <c r="N246" t="str">
        <f t="shared" si="4"/>
        <v>(Unknown)</v>
      </c>
    </row>
    <row r="247" spans="1:16">
      <c r="A247" t="s">
        <v>1963</v>
      </c>
      <c r="B247">
        <v>1</v>
      </c>
      <c r="D247" t="s">
        <v>18</v>
      </c>
      <c r="E247" t="s">
        <v>2</v>
      </c>
      <c r="F247" t="s">
        <v>1910</v>
      </c>
      <c r="G247" t="s">
        <v>59</v>
      </c>
      <c r="H247" t="s">
        <v>33</v>
      </c>
      <c r="I247">
        <v>0</v>
      </c>
      <c r="J247" t="s">
        <v>31</v>
      </c>
      <c r="K247" t="s">
        <v>31</v>
      </c>
      <c r="L247" t="s">
        <v>31</v>
      </c>
      <c r="M247" t="s">
        <v>31</v>
      </c>
      <c r="N247" t="s">
        <v>31</v>
      </c>
    </row>
    <row r="249" spans="1:16">
      <c r="F249" t="s">
        <v>1969</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19D96-FA59-49A4-A7BC-6E615127D1AD}">
  <sheetPr>
    <tabColor theme="9"/>
  </sheetPr>
  <dimension ref="A1:P59"/>
  <sheetViews>
    <sheetView topLeftCell="A19" zoomScale="70" zoomScaleNormal="70" workbookViewId="0">
      <selection activeCell="B5" sqref="B5"/>
    </sheetView>
  </sheetViews>
  <sheetFormatPr defaultRowHeight="14.45"/>
  <cols>
    <col min="1" max="1" width="79.5703125" bestFit="1" customWidth="1"/>
    <col min="5" max="5" width="31.28515625" bestFit="1" customWidth="1"/>
    <col min="6" max="6" width="37.140625" bestFit="1" customWidth="1"/>
  </cols>
  <sheetData>
    <row r="1" spans="1:16">
      <c r="A1" t="s">
        <v>0</v>
      </c>
      <c r="B1">
        <v>14</v>
      </c>
    </row>
    <row r="2" spans="1:16" s="70" customFormat="1" ht="15.6">
      <c r="A2" s="178" t="s">
        <v>5</v>
      </c>
      <c r="B2" s="178" t="s">
        <v>1970</v>
      </c>
      <c r="C2" s="178"/>
      <c r="D2" s="69"/>
      <c r="E2" s="144"/>
      <c r="F2" s="144"/>
      <c r="G2" s="144"/>
      <c r="H2" s="144"/>
      <c r="I2" s="144"/>
      <c r="J2" s="144"/>
      <c r="K2" s="144"/>
      <c r="L2" s="144"/>
      <c r="M2" s="144"/>
      <c r="N2" s="144"/>
      <c r="O2" s="144"/>
      <c r="P2" s="144"/>
    </row>
    <row r="3" spans="1:16">
      <c r="A3" s="59" t="s">
        <v>7</v>
      </c>
      <c r="B3" s="59" t="s">
        <v>1873</v>
      </c>
      <c r="C3" s="59"/>
      <c r="D3" s="59"/>
      <c r="E3" s="59"/>
      <c r="F3" s="59"/>
      <c r="G3" s="59"/>
      <c r="H3" s="59"/>
      <c r="I3" s="59"/>
      <c r="J3" s="59"/>
      <c r="K3" s="59"/>
      <c r="L3" s="59"/>
      <c r="M3" s="59"/>
      <c r="N3" s="59"/>
      <c r="O3" s="59"/>
      <c r="P3" s="59"/>
    </row>
    <row r="4" spans="1:16">
      <c r="A4" s="59" t="s">
        <v>9</v>
      </c>
      <c r="B4" s="59" t="s">
        <v>1971</v>
      </c>
      <c r="C4" s="59"/>
      <c r="D4" s="59"/>
      <c r="E4" s="59"/>
      <c r="F4" s="59"/>
      <c r="G4" s="59"/>
      <c r="H4" s="59"/>
      <c r="I4" s="59"/>
      <c r="J4" s="59"/>
      <c r="K4" s="59"/>
      <c r="L4" s="59"/>
      <c r="M4" s="59"/>
      <c r="N4" s="59"/>
      <c r="O4" s="59"/>
      <c r="P4" s="59"/>
    </row>
    <row r="5" spans="1:16">
      <c r="A5" s="59" t="s">
        <v>11</v>
      </c>
      <c r="B5" s="59" t="s">
        <v>1909</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ht="15.6">
      <c r="A9" s="59" t="s">
        <v>18</v>
      </c>
      <c r="B9" s="180" t="s">
        <v>37</v>
      </c>
      <c r="C9" s="59"/>
      <c r="D9" s="59"/>
      <c r="E9" s="59" t="s">
        <v>235</v>
      </c>
      <c r="F9" s="59"/>
      <c r="G9" s="59"/>
      <c r="H9" s="59"/>
      <c r="I9" s="59"/>
      <c r="J9" s="59"/>
      <c r="K9" s="59"/>
      <c r="L9" s="59"/>
      <c r="M9" s="59"/>
      <c r="N9" s="59"/>
      <c r="O9" s="59"/>
      <c r="P9" s="59"/>
    </row>
    <row r="10" spans="1:16" ht="15.6">
      <c r="A10" s="181" t="s">
        <v>19</v>
      </c>
      <c r="B10" s="59"/>
      <c r="C10" s="59"/>
      <c r="D10" s="59"/>
      <c r="E10" s="59"/>
      <c r="F10" s="59"/>
      <c r="G10" s="59"/>
      <c r="H10" s="59"/>
      <c r="I10" s="59"/>
      <c r="J10" s="59"/>
      <c r="K10" s="59"/>
      <c r="L10" s="59"/>
      <c r="M10" s="59"/>
      <c r="N10" s="59"/>
      <c r="O10" s="59"/>
      <c r="P10" s="59"/>
    </row>
    <row r="11" spans="1:16"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6">
      <c r="A12" s="180" t="str">
        <f>B2</f>
        <v>treatment of steel, H2_storage EoL, PEMFC-bat, Long-Term</v>
      </c>
      <c r="B12" s="180">
        <v>1</v>
      </c>
      <c r="C12" s="180"/>
      <c r="D12" s="180" t="s">
        <v>37</v>
      </c>
      <c r="E12" s="59" t="s">
        <v>2</v>
      </c>
      <c r="F12" s="59" t="s">
        <v>1834</v>
      </c>
      <c r="G12" s="180" t="s">
        <v>59</v>
      </c>
      <c r="H12" s="59" t="s">
        <v>30</v>
      </c>
      <c r="I12" s="59">
        <v>0</v>
      </c>
      <c r="J12" s="180" t="s">
        <v>31</v>
      </c>
      <c r="K12" s="180" t="s">
        <v>31</v>
      </c>
      <c r="L12" s="180" t="s">
        <v>31</v>
      </c>
      <c r="M12" s="180" t="s">
        <v>31</v>
      </c>
      <c r="N12" s="180" t="s">
        <v>31</v>
      </c>
      <c r="O12" s="180" t="s">
        <v>1376</v>
      </c>
      <c r="P12" s="59"/>
    </row>
    <row r="13" spans="1:16" ht="15.6">
      <c r="A13" t="s">
        <v>135</v>
      </c>
      <c r="B13" s="23">
        <v>0.85</v>
      </c>
      <c r="C13" s="180"/>
      <c r="D13" s="180" t="s">
        <v>37</v>
      </c>
      <c r="E13" s="88" t="s">
        <v>40</v>
      </c>
      <c r="F13" s="59" t="s">
        <v>1834</v>
      </c>
      <c r="G13" s="180" t="s">
        <v>82</v>
      </c>
      <c r="H13" s="59" t="s">
        <v>33</v>
      </c>
      <c r="I13" s="59">
        <v>0</v>
      </c>
      <c r="J13" s="180" t="s">
        <v>31</v>
      </c>
      <c r="K13" s="180" t="s">
        <v>31</v>
      </c>
      <c r="L13" s="180" t="s">
        <v>31</v>
      </c>
      <c r="M13" s="180" t="s">
        <v>31</v>
      </c>
      <c r="N13" s="180" t="s">
        <v>31</v>
      </c>
      <c r="O13" s="59"/>
      <c r="P13" s="59"/>
    </row>
    <row r="14" spans="1:16" ht="15.6">
      <c r="A14" t="s">
        <v>703</v>
      </c>
      <c r="B14" s="23">
        <f>0.9*B13</f>
        <v>0.76500000000000001</v>
      </c>
      <c r="C14" s="180"/>
      <c r="D14" s="180" t="s">
        <v>37</v>
      </c>
      <c r="E14" s="88" t="s">
        <v>40</v>
      </c>
      <c r="F14" s="59" t="s">
        <v>1834</v>
      </c>
      <c r="G14" s="180" t="s">
        <v>59</v>
      </c>
      <c r="H14" s="59" t="s">
        <v>136</v>
      </c>
      <c r="I14" s="59">
        <v>0</v>
      </c>
      <c r="J14" s="180" t="s">
        <v>31</v>
      </c>
      <c r="K14" s="180" t="s">
        <v>31</v>
      </c>
      <c r="L14" s="180" t="s">
        <v>31</v>
      </c>
      <c r="M14" s="180" t="s">
        <v>31</v>
      </c>
      <c r="N14" s="180" t="s">
        <v>31</v>
      </c>
      <c r="O14" s="59"/>
      <c r="P14" s="59" t="s">
        <v>1373</v>
      </c>
    </row>
    <row r="15" spans="1:16" ht="16.5" customHeight="1">
      <c r="A15" t="s">
        <v>403</v>
      </c>
      <c r="B15" s="23">
        <f>-(1-B14)</f>
        <v>-0.23499999999999999</v>
      </c>
      <c r="D15" t="s">
        <v>37</v>
      </c>
      <c r="E15" s="88" t="s">
        <v>40</v>
      </c>
      <c r="F15" s="59" t="s">
        <v>1834</v>
      </c>
      <c r="G15" t="s">
        <v>59</v>
      </c>
      <c r="H15" t="s">
        <v>33</v>
      </c>
      <c r="I15">
        <v>0</v>
      </c>
      <c r="J15" t="s">
        <v>31</v>
      </c>
      <c r="K15" t="s">
        <v>31</v>
      </c>
      <c r="L15" t="s">
        <v>31</v>
      </c>
      <c r="M15" t="s">
        <v>31</v>
      </c>
      <c r="N15" t="s">
        <v>31</v>
      </c>
      <c r="O15" s="17"/>
      <c r="P15" s="59" t="s">
        <v>1377</v>
      </c>
    </row>
    <row r="16" spans="1:16" s="70" customFormat="1" ht="15.6">
      <c r="A16" s="178" t="s">
        <v>5</v>
      </c>
      <c r="B16" s="178" t="s">
        <v>1972</v>
      </c>
      <c r="C16" s="178"/>
      <c r="D16" s="69"/>
      <c r="E16" s="144"/>
      <c r="F16" s="144"/>
      <c r="G16" s="144"/>
      <c r="H16" s="144"/>
      <c r="I16" s="144"/>
      <c r="J16" s="144"/>
      <c r="K16" s="144"/>
      <c r="L16" s="144"/>
      <c r="M16" s="144"/>
      <c r="N16" s="144"/>
      <c r="O16" s="144"/>
      <c r="P16" s="144"/>
    </row>
    <row r="17" spans="1:16">
      <c r="A17" s="59" t="s">
        <v>7</v>
      </c>
      <c r="B17" s="59" t="s">
        <v>1873</v>
      </c>
      <c r="C17" s="59"/>
      <c r="D17" s="59"/>
      <c r="E17" s="59"/>
      <c r="F17" s="59"/>
      <c r="G17" s="59"/>
      <c r="H17" s="59"/>
      <c r="I17" s="59"/>
      <c r="J17" s="59"/>
      <c r="K17" s="59"/>
      <c r="L17" s="59"/>
      <c r="M17" s="59"/>
      <c r="N17" s="59"/>
      <c r="O17" s="59"/>
      <c r="P17" s="59"/>
    </row>
    <row r="18" spans="1:16">
      <c r="A18" s="59" t="s">
        <v>9</v>
      </c>
      <c r="B18" s="59" t="s">
        <v>1973</v>
      </c>
      <c r="C18" s="59"/>
      <c r="D18" s="59"/>
      <c r="E18" s="59"/>
      <c r="F18" s="59"/>
      <c r="G18" s="59"/>
      <c r="H18" s="59"/>
      <c r="I18" s="59"/>
      <c r="J18" s="59"/>
      <c r="K18" s="59"/>
      <c r="L18" s="59"/>
      <c r="M18" s="59"/>
      <c r="N18" s="59"/>
      <c r="O18" s="59"/>
      <c r="P18" s="59"/>
    </row>
    <row r="19" spans="1:16">
      <c r="A19" s="59" t="s">
        <v>11</v>
      </c>
      <c r="B19" s="59" t="s">
        <v>1909</v>
      </c>
      <c r="C19" s="59"/>
      <c r="D19" s="59"/>
      <c r="E19" s="59"/>
      <c r="F19" s="59"/>
      <c r="G19" s="59"/>
      <c r="H19" s="59"/>
      <c r="I19" s="59"/>
      <c r="J19" s="59"/>
      <c r="K19" s="59"/>
      <c r="L19" s="59"/>
      <c r="M19" s="59"/>
      <c r="N19" s="59"/>
      <c r="O19" s="59"/>
      <c r="P19" s="59"/>
    </row>
    <row r="20" spans="1:16">
      <c r="A20" s="59" t="s">
        <v>13</v>
      </c>
      <c r="B20" s="59" t="s">
        <v>59</v>
      </c>
      <c r="C20" s="59"/>
      <c r="D20" s="59"/>
      <c r="E20" s="59"/>
      <c r="F20" s="59"/>
      <c r="G20" s="59"/>
      <c r="H20" s="59"/>
      <c r="I20" s="59"/>
      <c r="J20" s="59"/>
      <c r="K20" s="59"/>
      <c r="L20" s="59"/>
      <c r="M20" s="59"/>
      <c r="N20" s="59"/>
      <c r="O20" s="59"/>
      <c r="P20" s="59"/>
    </row>
    <row r="21" spans="1:16">
      <c r="A21" s="59" t="s">
        <v>15</v>
      </c>
      <c r="B21" s="59">
        <v>1</v>
      </c>
      <c r="C21" s="59"/>
      <c r="D21" s="59"/>
      <c r="E21" s="59"/>
      <c r="F21" s="59"/>
      <c r="G21" s="59"/>
      <c r="H21" s="59"/>
      <c r="I21" s="59"/>
      <c r="J21" s="59"/>
      <c r="K21" s="59"/>
      <c r="L21" s="59"/>
      <c r="M21" s="59"/>
      <c r="N21" s="59"/>
      <c r="O21" s="59"/>
      <c r="P21" s="59"/>
    </row>
    <row r="22" spans="1:16">
      <c r="A22" s="59" t="s">
        <v>16</v>
      </c>
      <c r="B22" s="59" t="s">
        <v>17</v>
      </c>
      <c r="C22" s="59"/>
      <c r="D22" s="59"/>
      <c r="E22" s="59"/>
      <c r="F22" s="59"/>
      <c r="G22" s="59"/>
      <c r="H22" s="59"/>
      <c r="I22" s="59"/>
      <c r="J22" s="59"/>
      <c r="K22" s="59"/>
      <c r="L22" s="59"/>
      <c r="M22" s="59"/>
      <c r="N22" s="59"/>
      <c r="O22" s="59"/>
      <c r="P22" s="59"/>
    </row>
    <row r="23" spans="1:16" ht="15.6">
      <c r="A23" s="59" t="s">
        <v>18</v>
      </c>
      <c r="B23" s="180" t="s">
        <v>37</v>
      </c>
      <c r="C23" s="59"/>
      <c r="D23" s="59"/>
      <c r="E23" s="59" t="s">
        <v>235</v>
      </c>
      <c r="F23" s="59"/>
      <c r="G23" s="59"/>
      <c r="H23" s="59"/>
      <c r="I23" s="59"/>
      <c r="J23" s="59"/>
      <c r="K23" s="59"/>
      <c r="L23" s="59"/>
      <c r="M23" s="59"/>
      <c r="N23" s="59"/>
      <c r="O23" s="59"/>
      <c r="P23" s="59"/>
    </row>
    <row r="24" spans="1:16" ht="15.6">
      <c r="A24" s="181" t="s">
        <v>19</v>
      </c>
      <c r="B24" s="59"/>
      <c r="C24" s="59"/>
      <c r="D24" s="59"/>
      <c r="E24" s="59"/>
      <c r="F24" s="59"/>
      <c r="G24" s="59"/>
      <c r="H24" s="59"/>
      <c r="I24" s="59"/>
      <c r="J24" s="59"/>
      <c r="K24" s="59"/>
      <c r="L24" s="59"/>
      <c r="M24" s="59"/>
      <c r="N24" s="59"/>
      <c r="O24" s="59"/>
      <c r="P24" s="59"/>
    </row>
    <row r="25" spans="1:16" ht="15.6">
      <c r="A25" s="181" t="s">
        <v>20</v>
      </c>
      <c r="B25" s="181" t="s">
        <v>21</v>
      </c>
      <c r="C25" s="181" t="s">
        <v>217</v>
      </c>
      <c r="D25" s="181" t="s">
        <v>18</v>
      </c>
      <c r="E25" s="181" t="s">
        <v>22</v>
      </c>
      <c r="F25" s="181" t="s">
        <v>7</v>
      </c>
      <c r="G25" s="181" t="s">
        <v>13</v>
      </c>
      <c r="H25" s="181" t="s">
        <v>16</v>
      </c>
      <c r="I25" s="181" t="s">
        <v>23</v>
      </c>
      <c r="J25" s="181" t="s">
        <v>24</v>
      </c>
      <c r="K25" s="181" t="s">
        <v>25</v>
      </c>
      <c r="L25" s="181" t="s">
        <v>26</v>
      </c>
      <c r="M25" s="181" t="s">
        <v>27</v>
      </c>
      <c r="N25" s="181" t="s">
        <v>28</v>
      </c>
      <c r="O25" s="181" t="s">
        <v>11</v>
      </c>
      <c r="P25" s="181" t="s">
        <v>702</v>
      </c>
    </row>
    <row r="26" spans="1:16" ht="15.6">
      <c r="A26" s="180" t="str">
        <f>B16</f>
        <v>treatment of CFRP, H2 storage EoL,PEMFC-bat, Long-Term</v>
      </c>
      <c r="B26" s="180">
        <v>1</v>
      </c>
      <c r="C26" s="180"/>
      <c r="D26" s="180" t="s">
        <v>37</v>
      </c>
      <c r="E26" s="59" t="s">
        <v>2</v>
      </c>
      <c r="F26" s="59" t="s">
        <v>1834</v>
      </c>
      <c r="G26" s="180" t="s">
        <v>59</v>
      </c>
      <c r="H26" s="59" t="s">
        <v>30</v>
      </c>
      <c r="I26" s="59">
        <v>0</v>
      </c>
      <c r="J26" s="180" t="s">
        <v>31</v>
      </c>
      <c r="K26" s="180" t="s">
        <v>31</v>
      </c>
      <c r="L26" s="180" t="s">
        <v>31</v>
      </c>
      <c r="M26" s="180" t="s">
        <v>31</v>
      </c>
      <c r="N26" s="180" t="s">
        <v>31</v>
      </c>
      <c r="O26" s="180" t="s">
        <v>1381</v>
      </c>
      <c r="P26" s="59"/>
    </row>
    <row r="27" spans="1:16" ht="15.6">
      <c r="A27" s="88" t="s">
        <v>572</v>
      </c>
      <c r="B27">
        <v>-0.5</v>
      </c>
      <c r="D27" t="s">
        <v>37</v>
      </c>
      <c r="E27" s="188" t="s">
        <v>40</v>
      </c>
      <c r="F27" s="59" t="s">
        <v>1834</v>
      </c>
      <c r="G27" t="s">
        <v>82</v>
      </c>
      <c r="H27" t="s">
        <v>33</v>
      </c>
      <c r="I27" s="59">
        <v>0</v>
      </c>
      <c r="J27" s="180" t="s">
        <v>31</v>
      </c>
      <c r="K27" s="180" t="s">
        <v>31</v>
      </c>
      <c r="L27" s="180" t="s">
        <v>31</v>
      </c>
      <c r="M27" s="180" t="s">
        <v>31</v>
      </c>
      <c r="N27" s="180" t="s">
        <v>31</v>
      </c>
      <c r="O27" s="180" t="s">
        <v>1573</v>
      </c>
      <c r="P27" s="180" t="s">
        <v>1882</v>
      </c>
    </row>
    <row r="28" spans="1:16" ht="15.6">
      <c r="A28" s="88" t="s">
        <v>1885</v>
      </c>
      <c r="B28">
        <v>-0.5</v>
      </c>
      <c r="D28" t="s">
        <v>37</v>
      </c>
      <c r="E28" s="188" t="s">
        <v>40</v>
      </c>
      <c r="F28" s="59" t="s">
        <v>1834</v>
      </c>
      <c r="G28" t="s">
        <v>82</v>
      </c>
      <c r="H28" s="59" t="s">
        <v>33</v>
      </c>
      <c r="I28" s="59">
        <v>0</v>
      </c>
      <c r="J28" s="180" t="s">
        <v>31</v>
      </c>
      <c r="K28" s="180" t="s">
        <v>31</v>
      </c>
      <c r="L28" s="180" t="s">
        <v>31</v>
      </c>
      <c r="M28" s="180" t="s">
        <v>31</v>
      </c>
      <c r="N28" s="180" t="s">
        <v>31</v>
      </c>
      <c r="O28" s="180"/>
    </row>
    <row r="29" spans="1:16" s="70" customFormat="1" ht="15.6">
      <c r="A29" s="178" t="s">
        <v>5</v>
      </c>
      <c r="B29" s="178" t="s">
        <v>1974</v>
      </c>
      <c r="C29" s="178"/>
      <c r="D29" s="69"/>
      <c r="E29" s="144"/>
      <c r="F29" s="144"/>
      <c r="G29" s="144"/>
      <c r="H29" s="144"/>
      <c r="I29" s="144"/>
      <c r="J29" s="144"/>
      <c r="K29" s="144"/>
      <c r="L29" s="144"/>
      <c r="M29" s="144"/>
      <c r="N29" s="144"/>
      <c r="O29" s="144"/>
      <c r="P29" s="144"/>
    </row>
    <row r="30" spans="1:16">
      <c r="A30" s="59" t="s">
        <v>7</v>
      </c>
      <c r="B30" s="59" t="s">
        <v>1873</v>
      </c>
      <c r="C30" s="59"/>
      <c r="D30" s="59"/>
      <c r="E30" s="59"/>
      <c r="F30" s="59"/>
      <c r="G30" s="59"/>
      <c r="H30" s="59"/>
      <c r="I30" s="59"/>
      <c r="J30" s="59"/>
      <c r="K30" s="59"/>
      <c r="L30" s="59"/>
      <c r="M30" s="59"/>
      <c r="N30" s="59"/>
      <c r="O30" s="59"/>
      <c r="P30" s="59"/>
    </row>
    <row r="31" spans="1:16">
      <c r="A31" s="59" t="s">
        <v>9</v>
      </c>
      <c r="B31" s="22" t="s">
        <v>1975</v>
      </c>
      <c r="C31" s="59"/>
      <c r="D31" s="59"/>
      <c r="E31" s="59"/>
      <c r="F31" s="59"/>
      <c r="G31" s="59"/>
      <c r="H31" s="59"/>
      <c r="I31" s="59"/>
      <c r="J31" s="59"/>
      <c r="K31" s="59"/>
      <c r="L31" s="59"/>
      <c r="M31" s="59"/>
      <c r="N31" s="59"/>
      <c r="O31" s="59"/>
      <c r="P31" s="59"/>
    </row>
    <row r="32" spans="1:16">
      <c r="A32" s="59" t="s">
        <v>11</v>
      </c>
      <c r="B32" s="59" t="s">
        <v>1976</v>
      </c>
      <c r="C32" s="59"/>
      <c r="D32" s="59"/>
      <c r="E32" s="59"/>
      <c r="F32" s="59"/>
      <c r="G32" s="59"/>
      <c r="H32" s="59"/>
      <c r="I32" s="59"/>
      <c r="J32" s="59"/>
      <c r="K32" s="59"/>
      <c r="L32" s="59"/>
      <c r="M32" s="59"/>
      <c r="N32" s="59"/>
      <c r="O32" s="59"/>
      <c r="P32" s="59"/>
    </row>
    <row r="33" spans="1:16">
      <c r="A33" s="59" t="s">
        <v>13</v>
      </c>
      <c r="B33" s="59" t="s">
        <v>59</v>
      </c>
      <c r="C33" s="59"/>
      <c r="D33" s="59"/>
      <c r="E33" s="59"/>
      <c r="F33" s="59"/>
      <c r="G33" s="59"/>
      <c r="H33" s="59"/>
      <c r="I33" s="59"/>
      <c r="J33" s="59"/>
      <c r="K33" s="59"/>
      <c r="L33" s="59"/>
      <c r="M33" s="59"/>
      <c r="N33" s="59"/>
      <c r="O33" s="59"/>
      <c r="P33" s="59"/>
    </row>
    <row r="34" spans="1:16">
      <c r="A34" s="59" t="s">
        <v>15</v>
      </c>
      <c r="B34" s="59">
        <v>1</v>
      </c>
      <c r="C34" s="59"/>
      <c r="D34" s="59"/>
      <c r="E34" s="59"/>
      <c r="F34" s="59"/>
      <c r="G34" s="59"/>
      <c r="H34" s="59"/>
      <c r="I34" s="59"/>
      <c r="J34" s="59"/>
      <c r="K34" s="59"/>
      <c r="L34" s="59"/>
      <c r="M34" s="59"/>
      <c r="N34" s="59"/>
      <c r="O34" s="59"/>
      <c r="P34" s="59"/>
    </row>
    <row r="35" spans="1:16">
      <c r="A35" s="59" t="s">
        <v>16</v>
      </c>
      <c r="B35" s="59" t="s">
        <v>17</v>
      </c>
      <c r="C35" s="59"/>
      <c r="D35" s="59"/>
      <c r="E35" s="59"/>
      <c r="F35" s="59"/>
      <c r="G35" s="59"/>
      <c r="H35" s="59"/>
      <c r="I35" s="59"/>
      <c r="J35" s="59"/>
      <c r="K35" s="59"/>
      <c r="L35" s="59"/>
      <c r="M35" s="59"/>
      <c r="N35" s="59"/>
      <c r="O35" s="59"/>
      <c r="P35" s="59"/>
    </row>
    <row r="36" spans="1:16" ht="15.6">
      <c r="A36" s="59" t="s">
        <v>18</v>
      </c>
      <c r="B36" s="180" t="s">
        <v>37</v>
      </c>
      <c r="C36" s="59"/>
      <c r="D36" s="59"/>
      <c r="E36" s="59" t="s">
        <v>235</v>
      </c>
      <c r="F36" s="59"/>
      <c r="G36" s="59"/>
      <c r="H36" s="59"/>
      <c r="I36" s="59"/>
      <c r="J36" s="59"/>
      <c r="K36" s="59"/>
      <c r="L36" s="59"/>
      <c r="M36" s="59"/>
      <c r="N36" s="59"/>
      <c r="O36" s="59"/>
      <c r="P36" s="59"/>
    </row>
    <row r="37" spans="1:16" ht="15.6">
      <c r="A37" s="181" t="s">
        <v>19</v>
      </c>
      <c r="B37" s="59"/>
      <c r="C37" s="59"/>
      <c r="D37" s="59"/>
      <c r="E37" s="59"/>
      <c r="F37" s="59"/>
      <c r="G37" s="59"/>
      <c r="H37" s="59"/>
      <c r="I37" s="59"/>
      <c r="J37" s="59"/>
      <c r="K37" s="59"/>
      <c r="L37" s="59"/>
      <c r="M37" s="59"/>
      <c r="N37" s="59"/>
      <c r="O37" s="59"/>
      <c r="P37" s="59"/>
    </row>
    <row r="38" spans="1:16" ht="15.6">
      <c r="A38" s="181" t="s">
        <v>20</v>
      </c>
      <c r="B38" s="181" t="s">
        <v>21</v>
      </c>
      <c r="C38" s="181" t="s">
        <v>217</v>
      </c>
      <c r="D38" s="181" t="s">
        <v>18</v>
      </c>
      <c r="E38" s="181" t="s">
        <v>22</v>
      </c>
      <c r="F38" s="181" t="s">
        <v>7</v>
      </c>
      <c r="G38" s="181" t="s">
        <v>13</v>
      </c>
      <c r="H38" s="181" t="s">
        <v>16</v>
      </c>
      <c r="I38" s="181" t="s">
        <v>23</v>
      </c>
      <c r="J38" s="181" t="s">
        <v>24</v>
      </c>
      <c r="K38" s="181" t="s">
        <v>25</v>
      </c>
      <c r="L38" s="181" t="s">
        <v>26</v>
      </c>
      <c r="M38" s="181" t="s">
        <v>27</v>
      </c>
      <c r="N38" s="181" t="s">
        <v>28</v>
      </c>
      <c r="O38" s="181" t="s">
        <v>11</v>
      </c>
      <c r="P38" s="181" t="s">
        <v>702</v>
      </c>
    </row>
    <row r="39" spans="1:16" ht="15.6">
      <c r="A39" s="180" t="str">
        <f>B29</f>
        <v>treatment of aluminium, H2 storage EoL,PEMFC-bat, Long-Term</v>
      </c>
      <c r="B39" s="180">
        <v>1</v>
      </c>
      <c r="C39" s="180"/>
      <c r="D39" s="180" t="s">
        <v>37</v>
      </c>
      <c r="E39" s="59" t="s">
        <v>2</v>
      </c>
      <c r="F39" s="59" t="s">
        <v>1910</v>
      </c>
      <c r="G39" s="180" t="s">
        <v>59</v>
      </c>
      <c r="H39" s="59" t="s">
        <v>30</v>
      </c>
      <c r="I39" s="59">
        <v>0</v>
      </c>
      <c r="J39" s="180" t="s">
        <v>31</v>
      </c>
      <c r="K39" s="180" t="s">
        <v>31</v>
      </c>
      <c r="L39" s="180" t="s">
        <v>31</v>
      </c>
      <c r="M39" s="180" t="s">
        <v>31</v>
      </c>
      <c r="N39" s="180" t="s">
        <v>31</v>
      </c>
      <c r="O39" s="180" t="s">
        <v>1932</v>
      </c>
      <c r="P39" s="59"/>
    </row>
    <row r="40" spans="1:16" ht="15.6">
      <c r="A40" t="s">
        <v>263</v>
      </c>
      <c r="B40" s="23">
        <v>0.85</v>
      </c>
      <c r="C40" s="180"/>
      <c r="D40" s="180" t="s">
        <v>37</v>
      </c>
      <c r="E40" s="37" t="s">
        <v>40</v>
      </c>
      <c r="F40" s="59" t="s">
        <v>1910</v>
      </c>
      <c r="G40" s="180" t="s">
        <v>82</v>
      </c>
      <c r="H40" s="59" t="s">
        <v>33</v>
      </c>
      <c r="I40" s="59">
        <v>0</v>
      </c>
      <c r="J40" s="180" t="s">
        <v>31</v>
      </c>
      <c r="K40" s="180" t="s">
        <v>31</v>
      </c>
      <c r="L40" s="180" t="s">
        <v>31</v>
      </c>
      <c r="M40" s="180" t="s">
        <v>31</v>
      </c>
      <c r="N40" s="180" t="s">
        <v>31</v>
      </c>
      <c r="O40" s="59"/>
      <c r="P40" s="59"/>
    </row>
    <row r="41" spans="1:16" ht="15.6">
      <c r="A41" t="s">
        <v>265</v>
      </c>
      <c r="B41" s="23">
        <v>0.85</v>
      </c>
      <c r="C41" s="22" t="s">
        <v>266</v>
      </c>
      <c r="D41" t="s">
        <v>37</v>
      </c>
      <c r="E41" s="188" t="s">
        <v>40</v>
      </c>
      <c r="F41" s="59" t="s">
        <v>1910</v>
      </c>
      <c r="G41" s="180" t="s">
        <v>82</v>
      </c>
      <c r="H41" s="59" t="s">
        <v>33</v>
      </c>
      <c r="I41" s="59">
        <v>0</v>
      </c>
      <c r="J41" s="180" t="s">
        <v>31</v>
      </c>
      <c r="K41" s="180" t="s">
        <v>31</v>
      </c>
      <c r="L41" s="180" t="s">
        <v>31</v>
      </c>
      <c r="M41" s="180" t="s">
        <v>31</v>
      </c>
      <c r="N41" s="180" t="s">
        <v>31</v>
      </c>
      <c r="O41" s="180" t="s">
        <v>1367</v>
      </c>
    </row>
    <row r="42" spans="1:16" ht="15.6">
      <c r="A42" t="s">
        <v>347</v>
      </c>
      <c r="B42" s="23">
        <f>B41*0.9</f>
        <v>0.76500000000000001</v>
      </c>
      <c r="D42" t="s">
        <v>37</v>
      </c>
      <c r="E42" s="188" t="s">
        <v>40</v>
      </c>
      <c r="F42" s="59" t="s">
        <v>1910</v>
      </c>
      <c r="G42" t="s">
        <v>59</v>
      </c>
      <c r="H42" s="59" t="s">
        <v>136</v>
      </c>
      <c r="I42" s="59">
        <v>0</v>
      </c>
      <c r="J42" s="180" t="s">
        <v>31</v>
      </c>
      <c r="K42" s="180" t="s">
        <v>31</v>
      </c>
      <c r="L42" s="180" t="s">
        <v>31</v>
      </c>
      <c r="M42" s="180" t="s">
        <v>31</v>
      </c>
      <c r="N42" s="180" t="s">
        <v>31</v>
      </c>
      <c r="O42" s="59"/>
      <c r="P42" s="180" t="s">
        <v>1368</v>
      </c>
    </row>
    <row r="43" spans="1:16" ht="15.6">
      <c r="A43" t="s">
        <v>403</v>
      </c>
      <c r="B43" s="23">
        <f>-(1-B42)</f>
        <v>-0.23499999999999999</v>
      </c>
      <c r="D43" t="s">
        <v>37</v>
      </c>
      <c r="E43" s="88" t="s">
        <v>40</v>
      </c>
      <c r="F43" s="59" t="s">
        <v>1910</v>
      </c>
      <c r="G43" t="s">
        <v>59</v>
      </c>
      <c r="H43" t="s">
        <v>33</v>
      </c>
      <c r="I43">
        <v>0</v>
      </c>
      <c r="J43" t="s">
        <v>31</v>
      </c>
      <c r="K43" t="s">
        <v>31</v>
      </c>
      <c r="L43" t="s">
        <v>31</v>
      </c>
      <c r="M43" t="s">
        <v>31</v>
      </c>
      <c r="N43" t="s">
        <v>31</v>
      </c>
      <c r="O43" s="17"/>
      <c r="P43" s="59"/>
    </row>
    <row r="44" spans="1:16" s="70" customFormat="1" ht="15.6">
      <c r="A44" s="178" t="s">
        <v>5</v>
      </c>
      <c r="B44" s="178" t="s">
        <v>1977</v>
      </c>
      <c r="C44" s="178"/>
      <c r="D44" s="69"/>
      <c r="E44" s="144"/>
      <c r="F44" s="144"/>
      <c r="G44" s="144"/>
      <c r="H44" s="144"/>
      <c r="I44" s="144"/>
      <c r="J44" s="144"/>
      <c r="K44" s="144"/>
      <c r="L44" s="144"/>
      <c r="M44" s="144"/>
      <c r="N44" s="144"/>
      <c r="O44" s="144"/>
      <c r="P44" s="144"/>
    </row>
    <row r="45" spans="1:16">
      <c r="A45" s="59" t="s">
        <v>7</v>
      </c>
      <c r="B45" s="59" t="s">
        <v>1873</v>
      </c>
      <c r="C45" s="59"/>
      <c r="D45" s="59"/>
      <c r="E45" s="59"/>
      <c r="F45" s="59"/>
      <c r="G45" s="59"/>
      <c r="H45" s="59"/>
      <c r="I45" s="59"/>
      <c r="J45" s="59"/>
      <c r="K45" s="59"/>
      <c r="L45" s="59"/>
      <c r="M45" s="59"/>
      <c r="N45" s="59"/>
      <c r="O45" s="59"/>
      <c r="P45" s="59"/>
    </row>
    <row r="46" spans="1:16">
      <c r="A46" s="59" t="s">
        <v>9</v>
      </c>
      <c r="B46" s="59" t="s">
        <v>1978</v>
      </c>
      <c r="C46" s="59"/>
      <c r="D46" s="59"/>
      <c r="E46" s="59"/>
      <c r="F46" s="59"/>
      <c r="G46" s="59"/>
      <c r="H46" s="59"/>
      <c r="I46" s="59"/>
      <c r="J46" s="59"/>
      <c r="K46" s="59"/>
      <c r="L46" s="59"/>
      <c r="M46" s="59"/>
      <c r="N46" s="59"/>
      <c r="O46" s="59"/>
      <c r="P46" s="59"/>
    </row>
    <row r="47" spans="1:16">
      <c r="A47" s="59" t="s">
        <v>11</v>
      </c>
      <c r="B47" s="59" t="s">
        <v>1909</v>
      </c>
      <c r="C47" s="59"/>
      <c r="D47" s="59"/>
      <c r="E47" s="59"/>
      <c r="F47" s="59"/>
      <c r="G47" s="59"/>
      <c r="H47" s="59"/>
      <c r="I47" s="59"/>
      <c r="J47" s="59"/>
      <c r="K47" s="59"/>
      <c r="L47" s="59"/>
      <c r="M47" s="59"/>
      <c r="N47" s="59"/>
      <c r="O47" s="59"/>
      <c r="P47" s="59"/>
    </row>
    <row r="48" spans="1:16">
      <c r="A48" s="59" t="s">
        <v>13</v>
      </c>
      <c r="B48" s="59" t="s">
        <v>59</v>
      </c>
      <c r="C48" s="59"/>
      <c r="D48" s="59"/>
      <c r="E48" s="59"/>
      <c r="F48" s="59"/>
      <c r="G48" s="59"/>
      <c r="H48" s="59"/>
      <c r="I48" s="59"/>
      <c r="J48" s="59"/>
      <c r="K48" s="59"/>
      <c r="L48" s="59"/>
      <c r="M48" s="59"/>
      <c r="N48" s="59"/>
      <c r="O48" s="59"/>
      <c r="P48" s="59"/>
    </row>
    <row r="49" spans="1:16">
      <c r="A49" s="59" t="s">
        <v>15</v>
      </c>
      <c r="B49" s="59">
        <v>1</v>
      </c>
      <c r="C49" s="59"/>
      <c r="D49" s="59"/>
      <c r="E49" s="59"/>
      <c r="F49" s="59"/>
      <c r="G49" s="59"/>
      <c r="H49" s="59"/>
      <c r="I49" s="59"/>
      <c r="J49" s="59"/>
      <c r="K49" s="59"/>
      <c r="L49" s="59"/>
      <c r="M49" s="59"/>
      <c r="N49" s="59"/>
      <c r="O49" s="59"/>
      <c r="P49" s="59"/>
    </row>
    <row r="50" spans="1:16">
      <c r="A50" s="59" t="s">
        <v>16</v>
      </c>
      <c r="B50" s="59" t="s">
        <v>17</v>
      </c>
      <c r="C50" s="59"/>
      <c r="D50" s="59"/>
      <c r="E50" s="59"/>
      <c r="F50" s="59"/>
      <c r="G50" s="59"/>
      <c r="H50" s="59"/>
      <c r="I50" s="59"/>
      <c r="J50" s="59"/>
      <c r="K50" s="59"/>
      <c r="L50" s="59"/>
      <c r="M50" s="59"/>
      <c r="N50" s="59"/>
      <c r="O50" s="59"/>
      <c r="P50" s="59"/>
    </row>
    <row r="51" spans="1:16" ht="15.6">
      <c r="A51" s="59" t="s">
        <v>18</v>
      </c>
      <c r="B51" s="180" t="s">
        <v>18</v>
      </c>
      <c r="C51" s="59"/>
      <c r="D51" s="59"/>
      <c r="E51" s="59" t="s">
        <v>235</v>
      </c>
      <c r="F51" s="59"/>
      <c r="G51" s="59"/>
      <c r="H51" s="59"/>
      <c r="I51" s="59"/>
      <c r="J51" s="59"/>
      <c r="K51" s="59"/>
      <c r="L51" s="59"/>
      <c r="M51" s="59"/>
      <c r="N51" s="59"/>
      <c r="O51" s="59"/>
      <c r="P51" s="59"/>
    </row>
    <row r="52" spans="1:16" ht="15.6">
      <c r="A52" s="181" t="s">
        <v>19</v>
      </c>
      <c r="B52" s="59"/>
      <c r="C52" s="59"/>
      <c r="D52" s="59"/>
      <c r="E52" s="59"/>
      <c r="F52" s="59"/>
      <c r="G52" s="59"/>
      <c r="H52" s="59"/>
      <c r="I52" s="59"/>
      <c r="J52" s="59"/>
      <c r="K52" s="59"/>
      <c r="L52" s="59"/>
      <c r="M52" s="59"/>
      <c r="N52" s="59"/>
      <c r="O52" s="59"/>
      <c r="P52" s="59"/>
    </row>
    <row r="53" spans="1:16" ht="15.6">
      <c r="A53" s="181" t="s">
        <v>20</v>
      </c>
      <c r="B53" s="181" t="s">
        <v>21</v>
      </c>
      <c r="C53" s="181" t="s">
        <v>217</v>
      </c>
      <c r="D53" s="181" t="s">
        <v>18</v>
      </c>
      <c r="E53" s="181" t="s">
        <v>22</v>
      </c>
      <c r="F53" s="181" t="s">
        <v>7</v>
      </c>
      <c r="G53" s="181" t="s">
        <v>13</v>
      </c>
      <c r="H53" s="181" t="s">
        <v>16</v>
      </c>
      <c r="I53" s="181" t="s">
        <v>23</v>
      </c>
      <c r="J53" s="181" t="s">
        <v>24</v>
      </c>
      <c r="K53" s="181" t="s">
        <v>25</v>
      </c>
      <c r="L53" s="181" t="s">
        <v>26</v>
      </c>
      <c r="M53" s="181" t="s">
        <v>27</v>
      </c>
      <c r="N53" s="181" t="s">
        <v>28</v>
      </c>
      <c r="O53" s="181" t="s">
        <v>11</v>
      </c>
      <c r="P53" s="181" t="s">
        <v>702</v>
      </c>
    </row>
    <row r="54" spans="1:16" ht="15.6">
      <c r="A54" s="180" t="str">
        <f>B44</f>
        <v>treatment of H2 storage on-board</v>
      </c>
      <c r="B54" s="180">
        <v>1</v>
      </c>
      <c r="C54" s="180"/>
      <c r="D54" s="180" t="s">
        <v>18</v>
      </c>
      <c r="E54" s="59" t="s">
        <v>2</v>
      </c>
      <c r="F54" s="59" t="s">
        <v>1834</v>
      </c>
      <c r="G54" s="180" t="s">
        <v>59</v>
      </c>
      <c r="H54" s="59" t="s">
        <v>30</v>
      </c>
      <c r="I54" s="59">
        <v>0</v>
      </c>
      <c r="J54" s="180" t="s">
        <v>31</v>
      </c>
      <c r="K54" s="180" t="s">
        <v>31</v>
      </c>
      <c r="L54" s="180" t="s">
        <v>31</v>
      </c>
      <c r="M54" s="180" t="s">
        <v>31</v>
      </c>
      <c r="N54" s="180" t="s">
        <v>31</v>
      </c>
      <c r="O54" s="180" t="s">
        <v>1381</v>
      </c>
      <c r="P54" s="59"/>
    </row>
    <row r="55" spans="1:16">
      <c r="A55" t="str">
        <f>A12</f>
        <v>treatment of steel, H2_storage EoL, PEMFC-bat, Long-Term</v>
      </c>
      <c r="B55">
        <v>38</v>
      </c>
      <c r="D55" t="str">
        <f t="shared" ref="D55:N55" si="0">D12</f>
        <v>kilogram</v>
      </c>
      <c r="E55" t="str">
        <f t="shared" si="0"/>
        <v>GENESIS_2050_PEMFC-bat_Base</v>
      </c>
      <c r="F55" s="59" t="s">
        <v>1834</v>
      </c>
      <c r="G55" t="str">
        <f t="shared" si="0"/>
        <v>GLO</v>
      </c>
      <c r="H55" t="str">
        <f t="shared" si="0"/>
        <v>production</v>
      </c>
      <c r="I55">
        <f t="shared" si="0"/>
        <v>0</v>
      </c>
      <c r="J55" t="str">
        <f t="shared" si="0"/>
        <v>(Unknown)</v>
      </c>
      <c r="K55" t="str">
        <f t="shared" si="0"/>
        <v>(Unknown)</v>
      </c>
      <c r="L55" t="str">
        <f t="shared" si="0"/>
        <v>(Unknown)</v>
      </c>
      <c r="M55" t="str">
        <f t="shared" si="0"/>
        <v>(Unknown)</v>
      </c>
      <c r="N55" t="str">
        <f t="shared" si="0"/>
        <v>(Unknown)</v>
      </c>
    </row>
    <row r="56" spans="1:16">
      <c r="A56" t="str">
        <f>A26</f>
        <v>treatment of CFRP, H2 storage EoL,PEMFC-bat, Long-Term</v>
      </c>
      <c r="B56">
        <v>37.4</v>
      </c>
      <c r="D56" t="str">
        <f t="shared" ref="D56:N57" si="1">D26</f>
        <v>kilogram</v>
      </c>
      <c r="E56" t="str">
        <f t="shared" si="1"/>
        <v>GENESIS_2050_PEMFC-bat_Base</v>
      </c>
      <c r="F56" s="59" t="s">
        <v>1834</v>
      </c>
      <c r="G56" t="str">
        <f t="shared" si="1"/>
        <v>GLO</v>
      </c>
      <c r="H56" t="str">
        <f t="shared" si="1"/>
        <v>production</v>
      </c>
      <c r="I56">
        <f t="shared" si="1"/>
        <v>0</v>
      </c>
      <c r="J56" t="str">
        <f t="shared" si="1"/>
        <v>(Unknown)</v>
      </c>
      <c r="K56" t="str">
        <f t="shared" si="1"/>
        <v>(Unknown)</v>
      </c>
      <c r="L56" t="str">
        <f t="shared" si="1"/>
        <v>(Unknown)</v>
      </c>
      <c r="M56" t="str">
        <f t="shared" si="1"/>
        <v>(Unknown)</v>
      </c>
      <c r="N56" t="str">
        <f t="shared" si="1"/>
        <v>(Unknown)</v>
      </c>
    </row>
    <row r="57" spans="1:16">
      <c r="A57" t="str">
        <f>A39</f>
        <v>treatment of aluminium, H2 storage EoL,PEMFC-bat, Long-Term</v>
      </c>
      <c r="B57">
        <v>10</v>
      </c>
      <c r="D57" t="str">
        <f t="shared" si="1"/>
        <v>kilogram</v>
      </c>
      <c r="E57" t="s">
        <v>2</v>
      </c>
      <c r="F57" s="59" t="s">
        <v>1834</v>
      </c>
      <c r="G57" t="s">
        <v>59</v>
      </c>
      <c r="H57" t="str">
        <f t="shared" si="1"/>
        <v>technosphere</v>
      </c>
      <c r="I57">
        <f t="shared" si="1"/>
        <v>0</v>
      </c>
      <c r="J57" t="str">
        <f t="shared" si="1"/>
        <v>(Unknown)</v>
      </c>
      <c r="K57" t="str">
        <f t="shared" si="1"/>
        <v>(Unknown)</v>
      </c>
      <c r="L57" t="str">
        <f t="shared" si="1"/>
        <v>(Unknown)</v>
      </c>
      <c r="M57" t="str">
        <f t="shared" si="1"/>
        <v>(Unknown)</v>
      </c>
      <c r="N57" t="str">
        <f t="shared" si="1"/>
        <v>(Unknown)</v>
      </c>
    </row>
    <row r="58" spans="1:16" ht="15.6">
      <c r="A58" s="88" t="s">
        <v>312</v>
      </c>
      <c r="B58">
        <v>2.6</v>
      </c>
      <c r="D58" t="s">
        <v>37</v>
      </c>
      <c r="E58" s="88" t="s">
        <v>40</v>
      </c>
      <c r="F58" s="59" t="s">
        <v>1834</v>
      </c>
      <c r="G58" t="s">
        <v>82</v>
      </c>
      <c r="H58" t="s">
        <v>33</v>
      </c>
      <c r="I58" s="59">
        <v>0</v>
      </c>
      <c r="J58" s="180" t="s">
        <v>31</v>
      </c>
      <c r="K58" s="180" t="s">
        <v>31</v>
      </c>
      <c r="L58" s="180" t="s">
        <v>31</v>
      </c>
      <c r="M58" s="180" t="s">
        <v>31</v>
      </c>
      <c r="N58" s="180" t="s">
        <v>31</v>
      </c>
      <c r="P58" s="180" t="s">
        <v>1979</v>
      </c>
    </row>
    <row r="59" spans="1:16" ht="15.6">
      <c r="A59" s="88" t="s">
        <v>1386</v>
      </c>
      <c r="B59">
        <v>-200.8</v>
      </c>
      <c r="D59" t="s">
        <v>37</v>
      </c>
      <c r="E59" s="88" t="s">
        <v>40</v>
      </c>
      <c r="F59" s="59" t="s">
        <v>1834</v>
      </c>
      <c r="G59" t="s">
        <v>82</v>
      </c>
      <c r="H59" t="s">
        <v>33</v>
      </c>
      <c r="I59" s="59">
        <v>0</v>
      </c>
      <c r="J59" s="180" t="s">
        <v>31</v>
      </c>
      <c r="K59" s="180" t="s">
        <v>31</v>
      </c>
      <c r="L59" s="180" t="s">
        <v>31</v>
      </c>
      <c r="M59" s="180" t="s">
        <v>31</v>
      </c>
      <c r="N59" s="180" t="s">
        <v>31</v>
      </c>
      <c r="P59" t="s">
        <v>1980</v>
      </c>
    </row>
  </sheetData>
  <pageMargins left="0.7" right="0.7" top="0.75" bottom="0.75" header="0.3" footer="0.3"/>
  <pageSetup paperSize="9" orientation="portrai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15862-0635-45BE-8895-97C9CC1B1109}">
  <sheetPr>
    <tabColor theme="9"/>
  </sheetPr>
  <dimension ref="A1:P100"/>
  <sheetViews>
    <sheetView topLeftCell="A70" zoomScale="85" zoomScaleNormal="85" workbookViewId="0">
      <selection activeCell="B5" sqref="B5"/>
    </sheetView>
  </sheetViews>
  <sheetFormatPr defaultRowHeight="14.45"/>
  <cols>
    <col min="1" max="1" width="65.5703125" customWidth="1"/>
    <col min="2" max="2" width="7.85546875" customWidth="1"/>
    <col min="5" max="5" width="30" bestFit="1" customWidth="1"/>
    <col min="6" max="6" width="30.140625" bestFit="1" customWidth="1"/>
  </cols>
  <sheetData>
    <row r="1" spans="1:16">
      <c r="A1" t="s">
        <v>0</v>
      </c>
      <c r="B1">
        <v>14</v>
      </c>
    </row>
    <row r="2" spans="1:16" s="70" customFormat="1" ht="15.6">
      <c r="A2" s="178" t="s">
        <v>5</v>
      </c>
      <c r="B2" s="178" t="s">
        <v>1981</v>
      </c>
      <c r="C2" s="178"/>
      <c r="D2" s="69"/>
      <c r="E2" s="144"/>
      <c r="F2" s="144"/>
      <c r="G2" s="144"/>
      <c r="H2" s="144"/>
      <c r="I2" s="144"/>
      <c r="J2" s="144"/>
      <c r="K2" s="144"/>
      <c r="L2" s="144"/>
      <c r="M2" s="144"/>
      <c r="N2" s="144"/>
      <c r="O2" s="144"/>
      <c r="P2" s="144"/>
    </row>
    <row r="3" spans="1:16">
      <c r="A3" s="59" t="s">
        <v>7</v>
      </c>
      <c r="B3" s="59" t="s">
        <v>1873</v>
      </c>
      <c r="C3" s="59"/>
      <c r="D3" s="59"/>
      <c r="E3" s="59"/>
      <c r="F3" s="59"/>
      <c r="G3" s="59"/>
      <c r="H3" s="59"/>
      <c r="I3" s="59"/>
      <c r="J3" s="59"/>
      <c r="K3" s="59"/>
      <c r="L3" s="59"/>
      <c r="M3" s="59"/>
      <c r="N3" s="59"/>
      <c r="O3" s="59"/>
      <c r="P3" s="59"/>
    </row>
    <row r="4" spans="1:16">
      <c r="A4" s="59" t="s">
        <v>9</v>
      </c>
      <c r="B4" s="210" t="s">
        <v>1982</v>
      </c>
      <c r="C4" s="59"/>
      <c r="D4" s="59"/>
      <c r="E4" s="59"/>
      <c r="F4" s="59"/>
      <c r="G4" s="59"/>
      <c r="H4" s="59"/>
      <c r="I4" s="59"/>
      <c r="J4" s="59"/>
      <c r="K4" s="59"/>
      <c r="L4" s="59"/>
      <c r="M4" s="59"/>
      <c r="N4" s="59"/>
      <c r="O4" s="59"/>
      <c r="P4" s="59"/>
    </row>
    <row r="5" spans="1:16">
      <c r="A5" s="59" t="s">
        <v>11</v>
      </c>
      <c r="B5" s="59" t="s">
        <v>1983</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ht="15.6">
      <c r="A9" s="59" t="s">
        <v>18</v>
      </c>
      <c r="B9" s="180" t="s">
        <v>37</v>
      </c>
      <c r="C9" s="59"/>
      <c r="D9" s="59"/>
      <c r="E9" s="59" t="s">
        <v>235</v>
      </c>
      <c r="F9" s="59"/>
      <c r="G9" s="59"/>
      <c r="H9" s="59"/>
      <c r="I9" s="59"/>
      <c r="J9" s="59"/>
      <c r="K9" s="59"/>
      <c r="L9" s="59"/>
      <c r="M9" s="59"/>
      <c r="N9" s="59"/>
      <c r="O9" s="59"/>
      <c r="P9" s="59"/>
    </row>
    <row r="10" spans="1:16" ht="15.6">
      <c r="A10" s="181" t="s">
        <v>19</v>
      </c>
      <c r="B10" s="59"/>
      <c r="C10" s="59"/>
      <c r="D10" s="59"/>
      <c r="E10" s="59"/>
      <c r="F10" s="59"/>
      <c r="G10" s="59"/>
      <c r="H10" s="59"/>
      <c r="I10" s="59"/>
      <c r="J10" s="59"/>
      <c r="K10" s="59"/>
      <c r="L10" s="59"/>
      <c r="M10" s="59"/>
      <c r="N10" s="59"/>
      <c r="O10" s="59"/>
      <c r="P10" s="59"/>
    </row>
    <row r="11" spans="1:16"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6">
      <c r="A12" s="180" t="str">
        <f>B2</f>
        <v>treatment of aluminium,PEMFC EoL, PEMFC-bat, Long-Term</v>
      </c>
      <c r="B12" s="180">
        <v>1</v>
      </c>
      <c r="C12" s="180"/>
      <c r="D12" s="180" t="s">
        <v>37</v>
      </c>
      <c r="E12" s="59" t="s">
        <v>2</v>
      </c>
      <c r="F12" s="59" t="s">
        <v>1984</v>
      </c>
      <c r="G12" s="180" t="s">
        <v>59</v>
      </c>
      <c r="H12" s="59" t="s">
        <v>30</v>
      </c>
      <c r="I12" s="59">
        <v>0</v>
      </c>
      <c r="J12" s="180" t="s">
        <v>31</v>
      </c>
      <c r="K12" s="180" t="s">
        <v>31</v>
      </c>
      <c r="L12" s="180" t="s">
        <v>31</v>
      </c>
      <c r="M12" s="180" t="s">
        <v>31</v>
      </c>
      <c r="N12" s="180" t="s">
        <v>31</v>
      </c>
      <c r="O12" s="180" t="s">
        <v>1366</v>
      </c>
      <c r="P12" s="59"/>
    </row>
    <row r="13" spans="1:16" ht="15.6">
      <c r="A13" t="s">
        <v>263</v>
      </c>
      <c r="B13" s="23">
        <v>0.85</v>
      </c>
      <c r="C13" s="180"/>
      <c r="D13" s="180" t="s">
        <v>37</v>
      </c>
      <c r="E13" s="37" t="s">
        <v>40</v>
      </c>
      <c r="F13" s="59" t="s">
        <v>1984</v>
      </c>
      <c r="G13" s="180" t="s">
        <v>82</v>
      </c>
      <c r="H13" s="59" t="s">
        <v>33</v>
      </c>
      <c r="I13" s="59">
        <v>0</v>
      </c>
      <c r="J13" s="180" t="s">
        <v>31</v>
      </c>
      <c r="K13" s="180" t="s">
        <v>31</v>
      </c>
      <c r="L13" s="180" t="s">
        <v>31</v>
      </c>
      <c r="M13" s="180" t="s">
        <v>31</v>
      </c>
      <c r="N13" s="180" t="s">
        <v>31</v>
      </c>
      <c r="O13" s="59"/>
      <c r="P13" s="59"/>
    </row>
    <row r="14" spans="1:16" ht="15.6">
      <c r="A14" t="s">
        <v>265</v>
      </c>
      <c r="B14" s="23">
        <v>0.85</v>
      </c>
      <c r="C14" s="22" t="s">
        <v>266</v>
      </c>
      <c r="D14" t="s">
        <v>37</v>
      </c>
      <c r="E14" s="188" t="s">
        <v>40</v>
      </c>
      <c r="F14" s="59" t="s">
        <v>1984</v>
      </c>
      <c r="G14" s="180" t="s">
        <v>82</v>
      </c>
      <c r="H14" s="59" t="s">
        <v>33</v>
      </c>
      <c r="I14" s="59">
        <v>0</v>
      </c>
      <c r="J14" s="180" t="s">
        <v>31</v>
      </c>
      <c r="K14" s="180" t="s">
        <v>31</v>
      </c>
      <c r="L14" s="180" t="s">
        <v>31</v>
      </c>
      <c r="M14" s="180" t="s">
        <v>31</v>
      </c>
      <c r="N14" s="180" t="s">
        <v>31</v>
      </c>
      <c r="O14" s="180" t="s">
        <v>1367</v>
      </c>
    </row>
    <row r="15" spans="1:16" ht="15.6">
      <c r="A15" t="s">
        <v>347</v>
      </c>
      <c r="B15" s="23">
        <f>B14*0.9</f>
        <v>0.76500000000000001</v>
      </c>
      <c r="D15" t="s">
        <v>37</v>
      </c>
      <c r="E15" s="188" t="s">
        <v>40</v>
      </c>
      <c r="F15" s="59" t="s">
        <v>1984</v>
      </c>
      <c r="G15" t="s">
        <v>59</v>
      </c>
      <c r="H15" s="59" t="s">
        <v>136</v>
      </c>
      <c r="I15" s="59">
        <v>0</v>
      </c>
      <c r="J15" s="180" t="s">
        <v>31</v>
      </c>
      <c r="K15" s="180" t="s">
        <v>31</v>
      </c>
      <c r="L15" s="180" t="s">
        <v>31</v>
      </c>
      <c r="M15" s="180" t="s">
        <v>31</v>
      </c>
      <c r="N15" s="180" t="s">
        <v>31</v>
      </c>
      <c r="O15" s="59"/>
      <c r="P15" s="180" t="s">
        <v>1368</v>
      </c>
    </row>
    <row r="16" spans="1:16" ht="15.6">
      <c r="A16" t="s">
        <v>403</v>
      </c>
      <c r="B16" s="23">
        <f>-(1-B15)</f>
        <v>-0.23499999999999999</v>
      </c>
      <c r="D16" t="s">
        <v>37</v>
      </c>
      <c r="E16" s="88" t="s">
        <v>40</v>
      </c>
      <c r="F16" s="59" t="s">
        <v>1984</v>
      </c>
      <c r="G16" t="s">
        <v>59</v>
      </c>
      <c r="H16" t="s">
        <v>33</v>
      </c>
      <c r="I16">
        <v>0</v>
      </c>
      <c r="J16" t="s">
        <v>31</v>
      </c>
      <c r="K16" t="s">
        <v>31</v>
      </c>
      <c r="L16" t="s">
        <v>31</v>
      </c>
      <c r="M16" t="s">
        <v>31</v>
      </c>
      <c r="N16" t="s">
        <v>31</v>
      </c>
      <c r="O16" s="17"/>
      <c r="P16" s="59"/>
    </row>
    <row r="17" spans="1:16" s="70" customFormat="1" ht="15.6">
      <c r="A17" s="178" t="s">
        <v>5</v>
      </c>
      <c r="B17" s="178" t="s">
        <v>1985</v>
      </c>
      <c r="C17" s="178"/>
      <c r="D17" s="69"/>
      <c r="E17" s="144"/>
      <c r="F17" s="144"/>
      <c r="G17" s="144"/>
      <c r="H17" s="144"/>
      <c r="I17" s="144"/>
      <c r="J17" s="144"/>
      <c r="K17" s="144"/>
      <c r="L17" s="144"/>
      <c r="M17" s="144"/>
      <c r="N17" s="144"/>
      <c r="O17" s="144"/>
      <c r="P17" s="144"/>
    </row>
    <row r="18" spans="1:16">
      <c r="A18" s="59" t="s">
        <v>7</v>
      </c>
      <c r="B18" s="59" t="s">
        <v>1873</v>
      </c>
      <c r="C18" s="59"/>
      <c r="D18" s="59"/>
      <c r="E18" s="59"/>
      <c r="F18" s="59"/>
      <c r="G18" s="59"/>
      <c r="H18" s="59"/>
      <c r="I18" s="59"/>
      <c r="J18" s="59"/>
      <c r="K18" s="59"/>
      <c r="L18" s="59"/>
      <c r="M18" s="59"/>
      <c r="N18" s="59"/>
      <c r="O18" s="59"/>
      <c r="P18" s="59"/>
    </row>
    <row r="19" spans="1:16">
      <c r="A19" s="59" t="s">
        <v>9</v>
      </c>
      <c r="B19" s="211" t="s">
        <v>1986</v>
      </c>
      <c r="C19" s="59"/>
      <c r="D19" s="59"/>
      <c r="E19" s="59"/>
      <c r="F19" s="59"/>
      <c r="G19" s="59"/>
      <c r="H19" s="59"/>
      <c r="I19" s="59"/>
      <c r="J19" s="59"/>
      <c r="K19" s="59"/>
      <c r="L19" s="59"/>
      <c r="M19" s="59"/>
      <c r="N19" s="59"/>
      <c r="O19" s="59"/>
      <c r="P19" s="59"/>
    </row>
    <row r="20" spans="1:16">
      <c r="A20" s="59" t="s">
        <v>11</v>
      </c>
      <c r="B20" s="59" t="s">
        <v>1983</v>
      </c>
      <c r="C20" s="59"/>
      <c r="D20" s="59"/>
      <c r="E20" s="59"/>
      <c r="F20" s="59"/>
      <c r="G20" s="59"/>
      <c r="H20" s="59"/>
      <c r="I20" s="59"/>
      <c r="J20" s="59"/>
      <c r="K20" s="59"/>
      <c r="L20" s="59"/>
      <c r="M20" s="59"/>
      <c r="N20" s="59"/>
      <c r="O20" s="59"/>
      <c r="P20" s="59"/>
    </row>
    <row r="21" spans="1:16">
      <c r="A21" s="59" t="s">
        <v>13</v>
      </c>
      <c r="B21" s="59" t="s">
        <v>59</v>
      </c>
      <c r="C21" s="59"/>
      <c r="D21" s="59"/>
      <c r="E21" s="59"/>
      <c r="F21" s="59"/>
      <c r="G21" s="59"/>
      <c r="H21" s="59"/>
      <c r="I21" s="59"/>
      <c r="J21" s="59"/>
      <c r="K21" s="59"/>
      <c r="L21" s="59"/>
      <c r="M21" s="59"/>
      <c r="N21" s="59"/>
      <c r="O21" s="59"/>
      <c r="P21" s="59"/>
    </row>
    <row r="22" spans="1:16">
      <c r="A22" s="59" t="s">
        <v>15</v>
      </c>
      <c r="B22" s="59">
        <v>1</v>
      </c>
      <c r="C22" s="59"/>
      <c r="D22" s="59"/>
      <c r="E22" s="59"/>
      <c r="F22" s="59"/>
      <c r="G22" s="59"/>
      <c r="H22" s="59"/>
      <c r="I22" s="59"/>
      <c r="J22" s="59"/>
      <c r="K22" s="59"/>
      <c r="L22" s="59"/>
      <c r="M22" s="59"/>
      <c r="N22" s="59"/>
      <c r="O22" s="59"/>
      <c r="P22" s="59"/>
    </row>
    <row r="23" spans="1:16">
      <c r="A23" s="59" t="s">
        <v>16</v>
      </c>
      <c r="B23" s="59" t="s">
        <v>17</v>
      </c>
      <c r="C23" s="59"/>
      <c r="D23" s="59"/>
      <c r="E23" s="59"/>
      <c r="F23" s="59"/>
      <c r="G23" s="59"/>
      <c r="H23" s="59"/>
      <c r="I23" s="59"/>
      <c r="J23" s="59"/>
      <c r="K23" s="59"/>
      <c r="L23" s="59"/>
      <c r="M23" s="59"/>
      <c r="N23" s="59"/>
      <c r="O23" s="59"/>
      <c r="P23" s="59"/>
    </row>
    <row r="24" spans="1:16" ht="15.6">
      <c r="A24" s="59" t="s">
        <v>18</v>
      </c>
      <c r="B24" s="180" t="s">
        <v>37</v>
      </c>
      <c r="C24" s="59"/>
      <c r="D24" s="59"/>
      <c r="E24" s="59" t="s">
        <v>235</v>
      </c>
      <c r="F24" s="59"/>
      <c r="G24" s="59"/>
      <c r="H24" s="59"/>
      <c r="I24" s="59"/>
      <c r="J24" s="59"/>
      <c r="K24" s="59"/>
      <c r="L24" s="59"/>
      <c r="M24" s="59"/>
      <c r="N24" s="59"/>
      <c r="O24" s="59"/>
      <c r="P24" s="59"/>
    </row>
    <row r="25" spans="1:16" ht="15.6">
      <c r="A25" s="181" t="s">
        <v>19</v>
      </c>
      <c r="B25" s="59"/>
      <c r="C25" s="59"/>
      <c r="D25" s="59"/>
      <c r="E25" s="59"/>
      <c r="F25" s="59"/>
      <c r="G25" s="59"/>
      <c r="H25" s="59"/>
      <c r="I25" s="59"/>
      <c r="J25" s="59"/>
      <c r="K25" s="59"/>
      <c r="L25" s="59"/>
      <c r="M25" s="59"/>
      <c r="N25" s="59"/>
      <c r="O25" s="59"/>
      <c r="P25" s="59"/>
    </row>
    <row r="26" spans="1:16" ht="15.6">
      <c r="A26" s="181" t="s">
        <v>20</v>
      </c>
      <c r="B26" s="181" t="s">
        <v>21</v>
      </c>
      <c r="C26" s="181" t="s">
        <v>217</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702</v>
      </c>
    </row>
    <row r="27" spans="1:16" ht="15.6">
      <c r="A27" s="180" t="str">
        <f>B17</f>
        <v>treatment of copper,PEMFC EoL, PEMFC-bat, Long-Term</v>
      </c>
      <c r="B27" s="180">
        <v>1</v>
      </c>
      <c r="C27" s="180"/>
      <c r="D27" s="180" t="s">
        <v>37</v>
      </c>
      <c r="E27" s="59" t="s">
        <v>2</v>
      </c>
      <c r="F27" s="59" t="s">
        <v>1984</v>
      </c>
      <c r="G27" s="180" t="s">
        <v>59</v>
      </c>
      <c r="H27" s="59" t="s">
        <v>30</v>
      </c>
      <c r="I27" s="59">
        <v>0</v>
      </c>
      <c r="J27" s="180" t="s">
        <v>31</v>
      </c>
      <c r="K27" s="180" t="s">
        <v>31</v>
      </c>
      <c r="L27" s="180" t="s">
        <v>31</v>
      </c>
      <c r="M27" s="180" t="s">
        <v>31</v>
      </c>
      <c r="N27" s="180" t="s">
        <v>31</v>
      </c>
      <c r="O27" s="180" t="s">
        <v>1371</v>
      </c>
      <c r="P27" s="59"/>
    </row>
    <row r="28" spans="1:16" ht="15.6">
      <c r="A28" t="s">
        <v>442</v>
      </c>
      <c r="B28" s="212">
        <f>B27</f>
        <v>1</v>
      </c>
      <c r="C28" t="s">
        <v>443</v>
      </c>
      <c r="D28" t="s">
        <v>37</v>
      </c>
      <c r="E28" s="188" t="s">
        <v>40</v>
      </c>
      <c r="F28" s="59" t="s">
        <v>1984</v>
      </c>
      <c r="G28" t="s">
        <v>82</v>
      </c>
      <c r="H28" t="s">
        <v>33</v>
      </c>
      <c r="I28" s="59">
        <v>0</v>
      </c>
      <c r="J28" s="180" t="s">
        <v>31</v>
      </c>
      <c r="K28" s="180" t="s">
        <v>31</v>
      </c>
      <c r="L28" s="180" t="s">
        <v>31</v>
      </c>
      <c r="M28" s="180" t="s">
        <v>31</v>
      </c>
      <c r="N28" s="180" t="s">
        <v>31</v>
      </c>
    </row>
    <row r="29" spans="1:16" ht="15.6">
      <c r="A29" t="s">
        <v>1372</v>
      </c>
      <c r="B29">
        <f>0.9*B28</f>
        <v>0.9</v>
      </c>
      <c r="D29" t="s">
        <v>37</v>
      </c>
      <c r="E29" s="188" t="s">
        <v>40</v>
      </c>
      <c r="F29" s="59" t="s">
        <v>1984</v>
      </c>
      <c r="G29" t="s">
        <v>59</v>
      </c>
      <c r="H29" t="s">
        <v>136</v>
      </c>
      <c r="I29" s="59">
        <v>0</v>
      </c>
      <c r="J29" s="180" t="s">
        <v>31</v>
      </c>
      <c r="K29" s="180" t="s">
        <v>31</v>
      </c>
      <c r="L29" s="180" t="s">
        <v>31</v>
      </c>
      <c r="M29" s="180" t="s">
        <v>31</v>
      </c>
      <c r="N29" s="180" t="s">
        <v>31</v>
      </c>
      <c r="O29" s="59" t="s">
        <v>1373</v>
      </c>
    </row>
    <row r="30" spans="1:16" ht="15.6">
      <c r="A30" t="s">
        <v>403</v>
      </c>
      <c r="B30" s="23">
        <f>-(1-B29)</f>
        <v>-9.9999999999999978E-2</v>
      </c>
      <c r="D30" t="s">
        <v>37</v>
      </c>
      <c r="E30" s="88" t="s">
        <v>40</v>
      </c>
      <c r="F30" s="59" t="s">
        <v>1984</v>
      </c>
      <c r="G30" t="s">
        <v>59</v>
      </c>
      <c r="H30" t="s">
        <v>33</v>
      </c>
      <c r="I30">
        <v>0</v>
      </c>
      <c r="J30" t="s">
        <v>31</v>
      </c>
      <c r="K30" t="s">
        <v>31</v>
      </c>
      <c r="L30" t="s">
        <v>31</v>
      </c>
      <c r="M30" t="s">
        <v>31</v>
      </c>
      <c r="N30" t="s">
        <v>31</v>
      </c>
      <c r="O30" s="17"/>
      <c r="P30" s="59"/>
    </row>
    <row r="31" spans="1:16" s="70" customFormat="1" ht="15.6">
      <c r="A31" s="178" t="s">
        <v>5</v>
      </c>
      <c r="B31" s="178" t="s">
        <v>1987</v>
      </c>
      <c r="C31" s="178"/>
      <c r="D31" s="69"/>
      <c r="E31" s="144"/>
      <c r="F31" s="144"/>
      <c r="G31" s="144"/>
      <c r="H31" s="144"/>
      <c r="I31" s="144"/>
      <c r="J31" s="144"/>
      <c r="K31" s="144"/>
      <c r="L31" s="144"/>
      <c r="M31" s="144"/>
      <c r="N31" s="144"/>
      <c r="O31" s="144"/>
      <c r="P31" s="144"/>
    </row>
    <row r="32" spans="1:16">
      <c r="A32" s="59" t="s">
        <v>7</v>
      </c>
      <c r="B32" s="59" t="s">
        <v>1873</v>
      </c>
      <c r="C32" s="59"/>
      <c r="D32" s="59"/>
      <c r="E32" s="59"/>
      <c r="F32" s="59"/>
      <c r="G32" s="59"/>
      <c r="H32" s="59"/>
      <c r="I32" s="59"/>
      <c r="J32" s="59"/>
      <c r="K32" s="59"/>
      <c r="L32" s="59"/>
      <c r="M32" s="59"/>
      <c r="N32" s="59"/>
      <c r="O32" s="59"/>
      <c r="P32" s="59"/>
    </row>
    <row r="33" spans="1:16">
      <c r="A33" s="59" t="s">
        <v>9</v>
      </c>
      <c r="B33" s="211" t="s">
        <v>1988</v>
      </c>
      <c r="C33" s="59"/>
      <c r="D33" s="59"/>
      <c r="E33" s="59"/>
      <c r="F33" s="59"/>
      <c r="G33" s="59"/>
      <c r="H33" s="59"/>
      <c r="I33" s="59"/>
      <c r="J33" s="59"/>
      <c r="K33" s="59"/>
      <c r="L33" s="59"/>
      <c r="M33" s="59"/>
      <c r="N33" s="59"/>
      <c r="O33" s="59"/>
      <c r="P33" s="59"/>
    </row>
    <row r="34" spans="1:16">
      <c r="A34" s="59" t="s">
        <v>11</v>
      </c>
      <c r="B34" s="59" t="s">
        <v>1983</v>
      </c>
      <c r="C34" s="59"/>
      <c r="D34" s="59"/>
      <c r="E34" s="59"/>
      <c r="F34" s="59"/>
      <c r="G34" s="59"/>
      <c r="H34" s="59"/>
      <c r="I34" s="59"/>
      <c r="J34" s="59"/>
      <c r="K34" s="59"/>
      <c r="L34" s="59"/>
      <c r="M34" s="59"/>
      <c r="N34" s="59"/>
      <c r="O34" s="59"/>
      <c r="P34" s="59"/>
    </row>
    <row r="35" spans="1:16">
      <c r="A35" s="59" t="s">
        <v>13</v>
      </c>
      <c r="B35" s="59" t="s">
        <v>59</v>
      </c>
      <c r="C35" s="59"/>
      <c r="D35" s="59"/>
      <c r="E35" s="59"/>
      <c r="F35" s="59"/>
      <c r="G35" s="59"/>
      <c r="H35" s="59"/>
      <c r="I35" s="59"/>
      <c r="J35" s="59"/>
      <c r="K35" s="59"/>
      <c r="L35" s="59"/>
      <c r="M35" s="59"/>
      <c r="N35" s="59"/>
      <c r="O35" s="59"/>
      <c r="P35" s="59"/>
    </row>
    <row r="36" spans="1:16">
      <c r="A36" s="59" t="s">
        <v>15</v>
      </c>
      <c r="B36" s="59">
        <v>1</v>
      </c>
      <c r="C36" s="59"/>
      <c r="D36" s="59"/>
      <c r="E36" s="59"/>
      <c r="F36" s="59"/>
      <c r="G36" s="59"/>
      <c r="H36" s="59"/>
      <c r="I36" s="59"/>
      <c r="J36" s="59"/>
      <c r="K36" s="59"/>
      <c r="L36" s="59"/>
      <c r="M36" s="59"/>
      <c r="N36" s="59"/>
      <c r="O36" s="59"/>
      <c r="P36" s="59"/>
    </row>
    <row r="37" spans="1:16">
      <c r="A37" s="59" t="s">
        <v>16</v>
      </c>
      <c r="B37" s="59" t="s">
        <v>17</v>
      </c>
      <c r="C37" s="59"/>
      <c r="D37" s="59"/>
      <c r="E37" s="59"/>
      <c r="F37" s="59"/>
      <c r="G37" s="59"/>
      <c r="H37" s="59"/>
      <c r="I37" s="59"/>
      <c r="J37" s="59"/>
      <c r="K37" s="59"/>
      <c r="L37" s="59"/>
      <c r="M37" s="59"/>
      <c r="N37" s="59"/>
      <c r="O37" s="59"/>
      <c r="P37" s="59"/>
    </row>
    <row r="38" spans="1:16" ht="15.6">
      <c r="A38" s="59" t="s">
        <v>18</v>
      </c>
      <c r="B38" s="180" t="s">
        <v>37</v>
      </c>
      <c r="C38" s="59"/>
      <c r="D38" s="59"/>
      <c r="E38" s="59" t="s">
        <v>235</v>
      </c>
      <c r="F38" s="59"/>
      <c r="G38" s="59"/>
      <c r="H38" s="59"/>
      <c r="I38" s="59"/>
      <c r="J38" s="59"/>
      <c r="K38" s="59"/>
      <c r="L38" s="59"/>
      <c r="M38" s="59"/>
      <c r="N38" s="59"/>
      <c r="O38" s="59"/>
      <c r="P38" s="59"/>
    </row>
    <row r="39" spans="1:16" ht="15.6">
      <c r="A39" s="181" t="s">
        <v>19</v>
      </c>
      <c r="B39" s="59"/>
      <c r="C39" s="59"/>
      <c r="D39" s="59"/>
      <c r="E39" s="59"/>
      <c r="F39" s="59"/>
      <c r="G39" s="59"/>
      <c r="H39" s="59"/>
      <c r="I39" s="59"/>
      <c r="J39" s="59"/>
      <c r="K39" s="59"/>
      <c r="L39" s="59"/>
      <c r="M39" s="59"/>
      <c r="N39" s="59"/>
      <c r="O39" s="59"/>
      <c r="P39" s="59"/>
    </row>
    <row r="40" spans="1:16" ht="15.6">
      <c r="A40" s="181" t="s">
        <v>20</v>
      </c>
      <c r="B40" s="181" t="s">
        <v>21</v>
      </c>
      <c r="C40" s="181" t="s">
        <v>217</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702</v>
      </c>
    </row>
    <row r="41" spans="1:16" ht="15.6">
      <c r="A41" s="180" t="str">
        <f>B31</f>
        <v>treatment of steel,PEMFC EoL, PEMFC-bat, Long-Term</v>
      </c>
      <c r="B41" s="180">
        <v>1</v>
      </c>
      <c r="C41" s="180"/>
      <c r="D41" s="180" t="s">
        <v>37</v>
      </c>
      <c r="E41" s="59" t="s">
        <v>2</v>
      </c>
      <c r="F41" s="59" t="s">
        <v>1984</v>
      </c>
      <c r="G41" s="180" t="s">
        <v>59</v>
      </c>
      <c r="H41" s="59" t="s">
        <v>30</v>
      </c>
      <c r="I41" s="59">
        <v>0</v>
      </c>
      <c r="J41" s="180" t="s">
        <v>31</v>
      </c>
      <c r="K41" s="180" t="s">
        <v>31</v>
      </c>
      <c r="L41" s="180" t="s">
        <v>31</v>
      </c>
      <c r="M41" s="180" t="s">
        <v>31</v>
      </c>
      <c r="N41" s="180" t="s">
        <v>31</v>
      </c>
      <c r="O41" s="180" t="s">
        <v>1376</v>
      </c>
      <c r="P41" s="59"/>
    </row>
    <row r="42" spans="1:16" ht="15.6">
      <c r="A42" t="s">
        <v>135</v>
      </c>
      <c r="B42" s="23">
        <v>0.85</v>
      </c>
      <c r="C42" s="180"/>
      <c r="D42" s="180" t="s">
        <v>37</v>
      </c>
      <c r="E42" s="88" t="s">
        <v>40</v>
      </c>
      <c r="F42" s="59" t="s">
        <v>1984</v>
      </c>
      <c r="G42" s="180" t="s">
        <v>82</v>
      </c>
      <c r="H42" s="59" t="s">
        <v>33</v>
      </c>
      <c r="I42" s="59">
        <v>0</v>
      </c>
      <c r="J42" s="180" t="s">
        <v>31</v>
      </c>
      <c r="K42" s="180" t="s">
        <v>31</v>
      </c>
      <c r="L42" s="180" t="s">
        <v>31</v>
      </c>
      <c r="M42" s="180" t="s">
        <v>31</v>
      </c>
      <c r="N42" s="180" t="s">
        <v>31</v>
      </c>
      <c r="O42" s="59"/>
      <c r="P42" s="59"/>
    </row>
    <row r="43" spans="1:16" ht="15.6">
      <c r="A43" t="s">
        <v>703</v>
      </c>
      <c r="B43" s="23">
        <f>0.9*B42</f>
        <v>0.76500000000000001</v>
      </c>
      <c r="C43" s="180"/>
      <c r="D43" s="180" t="s">
        <v>37</v>
      </c>
      <c r="E43" s="88" t="s">
        <v>40</v>
      </c>
      <c r="F43" s="59" t="s">
        <v>1984</v>
      </c>
      <c r="G43" s="180" t="s">
        <v>59</v>
      </c>
      <c r="H43" s="59" t="s">
        <v>136</v>
      </c>
      <c r="I43" s="59">
        <v>0</v>
      </c>
      <c r="J43" s="180" t="s">
        <v>31</v>
      </c>
      <c r="K43" s="180" t="s">
        <v>31</v>
      </c>
      <c r="L43" s="180" t="s">
        <v>31</v>
      </c>
      <c r="M43" s="180" t="s">
        <v>31</v>
      </c>
      <c r="N43" s="180" t="s">
        <v>31</v>
      </c>
      <c r="O43" s="59"/>
      <c r="P43" s="59" t="s">
        <v>1373</v>
      </c>
    </row>
    <row r="44" spans="1:16" ht="16.5" customHeight="1">
      <c r="A44" t="s">
        <v>403</v>
      </c>
      <c r="B44" s="23">
        <f>-(1-B43)</f>
        <v>-0.23499999999999999</v>
      </c>
      <c r="D44" t="s">
        <v>37</v>
      </c>
      <c r="E44" s="88" t="s">
        <v>40</v>
      </c>
      <c r="F44" s="59" t="s">
        <v>1984</v>
      </c>
      <c r="G44" t="s">
        <v>59</v>
      </c>
      <c r="H44" t="s">
        <v>33</v>
      </c>
      <c r="I44">
        <v>0</v>
      </c>
      <c r="J44" t="s">
        <v>31</v>
      </c>
      <c r="K44" t="s">
        <v>31</v>
      </c>
      <c r="L44" t="s">
        <v>31</v>
      </c>
      <c r="M44" t="s">
        <v>31</v>
      </c>
      <c r="N44" t="s">
        <v>31</v>
      </c>
      <c r="O44" s="17"/>
      <c r="P44" s="59" t="s">
        <v>1377</v>
      </c>
    </row>
    <row r="45" spans="1:16" s="70" customFormat="1" ht="15.6">
      <c r="A45" s="178" t="s">
        <v>5</v>
      </c>
      <c r="B45" s="178" t="s">
        <v>1989</v>
      </c>
      <c r="C45" s="178"/>
      <c r="D45" s="69"/>
      <c r="E45" s="144"/>
      <c r="F45" s="144"/>
      <c r="G45" s="144"/>
      <c r="H45" s="144"/>
      <c r="I45" s="144"/>
      <c r="J45" s="144"/>
      <c r="K45" s="144"/>
      <c r="L45" s="144"/>
      <c r="M45" s="144"/>
      <c r="N45" s="144"/>
      <c r="O45" s="144"/>
      <c r="P45" s="144"/>
    </row>
    <row r="46" spans="1:16">
      <c r="A46" s="59" t="s">
        <v>7</v>
      </c>
      <c r="B46" s="59" t="s">
        <v>1873</v>
      </c>
      <c r="C46" s="59"/>
      <c r="D46" s="59"/>
      <c r="E46" s="59"/>
      <c r="F46" s="59"/>
      <c r="G46" s="59"/>
      <c r="H46" s="59"/>
      <c r="I46" s="59"/>
      <c r="J46" s="59"/>
      <c r="K46" s="59"/>
      <c r="L46" s="59"/>
      <c r="M46" s="59"/>
      <c r="N46" s="59"/>
      <c r="O46" s="59"/>
      <c r="P46" s="59"/>
    </row>
    <row r="47" spans="1:16">
      <c r="A47" s="59" t="s">
        <v>9</v>
      </c>
      <c r="B47" s="211" t="s">
        <v>1990</v>
      </c>
      <c r="C47" s="59"/>
      <c r="D47" s="59"/>
      <c r="E47" s="59"/>
      <c r="F47" s="59"/>
      <c r="G47" s="59"/>
      <c r="H47" s="59"/>
      <c r="I47" s="59"/>
      <c r="J47" s="59"/>
      <c r="K47" s="59"/>
      <c r="L47" s="59"/>
      <c r="M47" s="59"/>
      <c r="N47" s="59"/>
      <c r="O47" s="59"/>
      <c r="P47" s="59"/>
    </row>
    <row r="48" spans="1:16">
      <c r="A48" s="59" t="s">
        <v>11</v>
      </c>
      <c r="B48" s="59" t="s">
        <v>1991</v>
      </c>
      <c r="C48" s="59"/>
      <c r="D48" s="59"/>
      <c r="E48" s="59"/>
      <c r="F48" s="59"/>
      <c r="G48" s="59"/>
      <c r="H48" s="59"/>
      <c r="I48" s="59"/>
      <c r="J48" s="59"/>
      <c r="K48" s="59"/>
      <c r="L48" s="59"/>
      <c r="M48" s="59"/>
      <c r="N48" s="59"/>
      <c r="O48" s="59"/>
      <c r="P48" s="59"/>
    </row>
    <row r="49" spans="1:16">
      <c r="A49" s="59" t="s">
        <v>13</v>
      </c>
      <c r="B49" s="59" t="s">
        <v>59</v>
      </c>
      <c r="C49" s="59"/>
      <c r="D49" s="59"/>
      <c r="E49" s="59"/>
      <c r="F49" s="59"/>
      <c r="G49" s="59"/>
      <c r="H49" s="59"/>
      <c r="I49" s="59"/>
      <c r="J49" s="59"/>
      <c r="K49" s="59"/>
      <c r="L49" s="59"/>
      <c r="M49" s="59"/>
      <c r="N49" s="59"/>
      <c r="O49" s="59"/>
      <c r="P49" s="59"/>
    </row>
    <row r="50" spans="1:16">
      <c r="A50" s="59" t="s">
        <v>15</v>
      </c>
      <c r="B50" s="59">
        <v>1</v>
      </c>
      <c r="C50" s="59"/>
      <c r="D50" s="59"/>
      <c r="E50" s="59"/>
      <c r="F50" s="59"/>
      <c r="G50" s="59"/>
      <c r="H50" s="59"/>
      <c r="I50" s="59"/>
      <c r="J50" s="59"/>
      <c r="K50" s="59"/>
      <c r="L50" s="59"/>
      <c r="M50" s="59"/>
      <c r="N50" s="59"/>
      <c r="O50" s="59"/>
      <c r="P50" s="59"/>
    </row>
    <row r="51" spans="1:16">
      <c r="A51" s="59" t="s">
        <v>16</v>
      </c>
      <c r="B51" s="59" t="s">
        <v>17</v>
      </c>
      <c r="C51" s="59"/>
      <c r="D51" s="59"/>
      <c r="E51" s="59"/>
      <c r="F51" s="59"/>
      <c r="G51" s="59"/>
      <c r="H51" s="59"/>
      <c r="I51" s="59"/>
      <c r="J51" s="59"/>
      <c r="K51" s="59"/>
      <c r="L51" s="59"/>
      <c r="M51" s="59"/>
      <c r="N51" s="59"/>
      <c r="O51" s="59"/>
      <c r="P51" s="59"/>
    </row>
    <row r="52" spans="1:16" ht="15.6">
      <c r="A52" s="59" t="s">
        <v>18</v>
      </c>
      <c r="B52" s="180" t="s">
        <v>37</v>
      </c>
      <c r="C52" s="59"/>
      <c r="D52" s="59"/>
      <c r="E52" s="59" t="s">
        <v>235</v>
      </c>
      <c r="F52" s="59"/>
      <c r="G52" s="59"/>
      <c r="H52" s="59"/>
      <c r="I52" s="59"/>
      <c r="J52" s="59"/>
      <c r="K52" s="59"/>
      <c r="L52" s="59"/>
      <c r="M52" s="59"/>
      <c r="N52" s="59"/>
      <c r="O52" s="59"/>
      <c r="P52" s="59"/>
    </row>
    <row r="53" spans="1:16" ht="15.6">
      <c r="A53" s="181" t="s">
        <v>19</v>
      </c>
      <c r="B53" s="59"/>
      <c r="C53" s="59"/>
      <c r="D53" s="59"/>
      <c r="E53" s="59"/>
      <c r="F53" s="59"/>
      <c r="G53" s="59"/>
      <c r="H53" s="59"/>
      <c r="I53" s="59"/>
      <c r="J53" s="59"/>
      <c r="K53" s="59"/>
      <c r="L53" s="59"/>
      <c r="M53" s="59"/>
      <c r="N53" s="59"/>
      <c r="O53" s="59"/>
      <c r="P53" s="59"/>
    </row>
    <row r="54" spans="1:16" ht="15.6">
      <c r="A54" s="181" t="s">
        <v>20</v>
      </c>
      <c r="B54" s="181" t="s">
        <v>21</v>
      </c>
      <c r="C54" s="181" t="s">
        <v>217</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702</v>
      </c>
    </row>
    <row r="55" spans="1:16" ht="15.6">
      <c r="A55" s="180" t="str">
        <f>B45</f>
        <v>treatment of composites,PEMFC EoL, PEMFC-bat, Long-Term</v>
      </c>
      <c r="B55" s="180">
        <v>1</v>
      </c>
      <c r="C55" s="180"/>
      <c r="D55" s="180" t="s">
        <v>37</v>
      </c>
      <c r="E55" s="59" t="s">
        <v>2</v>
      </c>
      <c r="F55" s="59" t="s">
        <v>1984</v>
      </c>
      <c r="G55" s="180" t="s">
        <v>59</v>
      </c>
      <c r="H55" s="59" t="s">
        <v>30</v>
      </c>
      <c r="I55" s="59">
        <v>0</v>
      </c>
      <c r="J55" s="180" t="s">
        <v>31</v>
      </c>
      <c r="K55" s="180" t="s">
        <v>31</v>
      </c>
      <c r="L55" s="180" t="s">
        <v>31</v>
      </c>
      <c r="M55" s="180" t="s">
        <v>31</v>
      </c>
      <c r="N55" s="180" t="s">
        <v>31</v>
      </c>
      <c r="O55" s="180" t="s">
        <v>1381</v>
      </c>
      <c r="P55" s="59"/>
    </row>
    <row r="56" spans="1:16" ht="15.6">
      <c r="A56" s="88" t="s">
        <v>1382</v>
      </c>
      <c r="B56">
        <v>-1</v>
      </c>
      <c r="D56" s="180" t="s">
        <v>37</v>
      </c>
      <c r="E56" s="88" t="s">
        <v>40</v>
      </c>
      <c r="F56" s="59" t="s">
        <v>1984</v>
      </c>
      <c r="G56" t="s">
        <v>82</v>
      </c>
      <c r="H56" t="s">
        <v>33</v>
      </c>
      <c r="I56">
        <v>0</v>
      </c>
      <c r="J56" t="s">
        <v>31</v>
      </c>
      <c r="K56" t="s">
        <v>31</v>
      </c>
      <c r="L56" t="s">
        <v>31</v>
      </c>
      <c r="M56" t="s">
        <v>31</v>
      </c>
      <c r="N56" t="s">
        <v>31</v>
      </c>
    </row>
    <row r="57" spans="1:16" s="70" customFormat="1" ht="15.6">
      <c r="A57" s="178" t="s">
        <v>5</v>
      </c>
      <c r="B57" s="178" t="s">
        <v>1992</v>
      </c>
      <c r="C57" s="178"/>
      <c r="D57" s="69"/>
      <c r="E57" s="144"/>
      <c r="F57" s="144"/>
      <c r="G57" s="144"/>
      <c r="H57" s="144"/>
      <c r="I57" s="144"/>
      <c r="J57" s="144"/>
      <c r="K57" s="144"/>
      <c r="L57" s="144"/>
      <c r="M57" s="144"/>
      <c r="N57" s="144"/>
      <c r="O57" s="144"/>
      <c r="P57" s="144"/>
    </row>
    <row r="58" spans="1:16">
      <c r="A58" s="59" t="s">
        <v>7</v>
      </c>
      <c r="B58" s="59" t="s">
        <v>1873</v>
      </c>
      <c r="C58" s="59"/>
      <c r="D58" s="59"/>
      <c r="E58" s="59"/>
      <c r="F58" s="59"/>
      <c r="G58" s="59"/>
      <c r="H58" s="59"/>
      <c r="I58" s="59"/>
      <c r="J58" s="59"/>
      <c r="K58" s="59"/>
      <c r="L58" s="59"/>
      <c r="M58" s="59"/>
      <c r="N58" s="59"/>
      <c r="O58" s="59"/>
      <c r="P58" s="59"/>
    </row>
    <row r="59" spans="1:16">
      <c r="A59" s="59" t="s">
        <v>9</v>
      </c>
      <c r="B59" s="211" t="s">
        <v>1993</v>
      </c>
      <c r="C59" s="59"/>
      <c r="D59" s="59"/>
      <c r="E59" s="59"/>
      <c r="F59" s="59"/>
      <c r="G59" s="59"/>
      <c r="H59" s="59"/>
      <c r="I59" s="59"/>
      <c r="J59" s="59"/>
      <c r="K59" s="59"/>
      <c r="L59" s="59"/>
      <c r="M59" s="59"/>
      <c r="N59" s="59"/>
      <c r="O59" s="59"/>
      <c r="P59" s="59"/>
    </row>
    <row r="60" spans="1:16">
      <c r="A60" s="59" t="s">
        <v>11</v>
      </c>
      <c r="B60" s="59" t="s">
        <v>1991</v>
      </c>
      <c r="C60" s="59"/>
      <c r="D60" s="59"/>
      <c r="E60" s="59"/>
      <c r="F60" s="59"/>
      <c r="G60" s="59"/>
      <c r="H60" s="59"/>
      <c r="I60" s="59"/>
      <c r="J60" s="59"/>
      <c r="K60" s="59"/>
      <c r="L60" s="59"/>
      <c r="M60" s="59"/>
      <c r="N60" s="59"/>
      <c r="O60" s="59"/>
      <c r="P60" s="59"/>
    </row>
    <row r="61" spans="1:16">
      <c r="A61" s="59" t="s">
        <v>13</v>
      </c>
      <c r="B61" s="59" t="s">
        <v>59</v>
      </c>
      <c r="C61" s="59"/>
      <c r="D61" s="59"/>
      <c r="E61" s="59"/>
      <c r="F61" s="59"/>
      <c r="G61" s="59"/>
      <c r="H61" s="59"/>
      <c r="I61" s="59"/>
      <c r="J61" s="59"/>
      <c r="K61" s="59"/>
      <c r="L61" s="59"/>
      <c r="M61" s="59"/>
      <c r="N61" s="59"/>
      <c r="O61" s="59"/>
      <c r="P61" s="59"/>
    </row>
    <row r="62" spans="1:16">
      <c r="A62" s="59" t="s">
        <v>15</v>
      </c>
      <c r="B62" s="59">
        <v>1</v>
      </c>
      <c r="C62" s="59"/>
      <c r="D62" s="59"/>
      <c r="E62" s="59"/>
      <c r="F62" s="59"/>
      <c r="G62" s="59"/>
      <c r="H62" s="59"/>
      <c r="I62" s="59"/>
      <c r="J62" s="59"/>
      <c r="K62" s="59"/>
      <c r="L62" s="59"/>
      <c r="M62" s="59"/>
      <c r="N62" s="59"/>
      <c r="O62" s="59"/>
      <c r="P62" s="59"/>
    </row>
    <row r="63" spans="1:16">
      <c r="A63" s="59" t="s">
        <v>16</v>
      </c>
      <c r="B63" s="59" t="s">
        <v>17</v>
      </c>
      <c r="C63" s="59"/>
      <c r="D63" s="59"/>
      <c r="E63" s="59"/>
      <c r="F63" s="59"/>
      <c r="G63" s="59"/>
      <c r="H63" s="59"/>
      <c r="I63" s="59"/>
      <c r="J63" s="59"/>
      <c r="K63" s="59"/>
      <c r="L63" s="59"/>
      <c r="M63" s="59"/>
      <c r="N63" s="59"/>
      <c r="O63" s="59"/>
      <c r="P63" s="59"/>
    </row>
    <row r="64" spans="1:16" ht="15.6">
      <c r="A64" s="59" t="s">
        <v>18</v>
      </c>
      <c r="B64" s="180" t="s">
        <v>37</v>
      </c>
      <c r="C64" s="59"/>
      <c r="D64" s="59"/>
      <c r="E64" s="59" t="s">
        <v>235</v>
      </c>
      <c r="F64" s="59"/>
      <c r="G64" s="59"/>
      <c r="H64" s="59"/>
      <c r="I64" s="59"/>
      <c r="J64" s="59"/>
      <c r="K64" s="59"/>
      <c r="L64" s="59"/>
      <c r="M64" s="59"/>
      <c r="N64" s="59"/>
      <c r="O64" s="59"/>
      <c r="P64" s="59"/>
    </row>
    <row r="65" spans="1:16" ht="15.6">
      <c r="A65" s="181" t="s">
        <v>19</v>
      </c>
      <c r="B65" s="59"/>
      <c r="C65" s="59"/>
      <c r="D65" s="59"/>
      <c r="E65" s="59"/>
      <c r="F65" s="59"/>
      <c r="G65" s="59"/>
      <c r="H65" s="59"/>
      <c r="I65" s="59"/>
      <c r="J65" s="59"/>
      <c r="K65" s="59"/>
      <c r="L65" s="59"/>
      <c r="M65" s="59"/>
      <c r="N65" s="59"/>
      <c r="O65" s="59"/>
      <c r="P65" s="59"/>
    </row>
    <row r="66" spans="1:16" ht="15.6">
      <c r="A66" s="181" t="s">
        <v>20</v>
      </c>
      <c r="B66" s="181" t="s">
        <v>21</v>
      </c>
      <c r="C66" s="181" t="s">
        <v>217</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702</v>
      </c>
    </row>
    <row r="67" spans="1:16" ht="15.6">
      <c r="A67" s="180" t="str">
        <f>B57</f>
        <v>treatment of graphite,PEMFC EoL, PEMFC-bat, Long-Term</v>
      </c>
      <c r="B67" s="180">
        <v>1</v>
      </c>
      <c r="C67" s="180"/>
      <c r="D67" s="180" t="s">
        <v>37</v>
      </c>
      <c r="E67" s="59" t="s">
        <v>2</v>
      </c>
      <c r="F67" s="59" t="s">
        <v>1984</v>
      </c>
      <c r="G67" s="180" t="s">
        <v>59</v>
      </c>
      <c r="H67" s="59" t="s">
        <v>30</v>
      </c>
      <c r="I67" s="59">
        <v>0</v>
      </c>
      <c r="J67" s="180" t="s">
        <v>31</v>
      </c>
      <c r="K67" s="180" t="s">
        <v>31</v>
      </c>
      <c r="L67" s="180" t="s">
        <v>31</v>
      </c>
      <c r="M67" s="180" t="s">
        <v>31</v>
      </c>
      <c r="N67" s="180" t="s">
        <v>31</v>
      </c>
      <c r="O67" s="180" t="s">
        <v>1385</v>
      </c>
      <c r="P67" s="59"/>
    </row>
    <row r="68" spans="1:16" ht="15.6">
      <c r="A68" s="88" t="s">
        <v>1386</v>
      </c>
      <c r="B68">
        <v>-1</v>
      </c>
      <c r="D68" s="180" t="s">
        <v>37</v>
      </c>
      <c r="E68" s="59" t="s">
        <v>2</v>
      </c>
      <c r="F68" s="59" t="s">
        <v>1984</v>
      </c>
      <c r="G68" s="180" t="s">
        <v>82</v>
      </c>
      <c r="H68" s="59" t="s">
        <v>33</v>
      </c>
      <c r="I68" s="59">
        <v>0</v>
      </c>
      <c r="J68" s="180" t="s">
        <v>31</v>
      </c>
      <c r="K68" s="180" t="s">
        <v>31</v>
      </c>
      <c r="L68" s="180" t="s">
        <v>31</v>
      </c>
      <c r="M68" s="180" t="s">
        <v>31</v>
      </c>
      <c r="N68" s="180" t="s">
        <v>31</v>
      </c>
    </row>
    <row r="69" spans="1:16" s="70" customFormat="1" ht="15.6">
      <c r="A69" s="178" t="s">
        <v>5</v>
      </c>
      <c r="B69" s="178" t="s">
        <v>1994</v>
      </c>
      <c r="C69" s="178"/>
      <c r="D69" s="69"/>
      <c r="E69" s="144"/>
      <c r="F69" s="144"/>
      <c r="G69" s="144"/>
      <c r="H69" s="144"/>
      <c r="I69" s="144"/>
      <c r="J69" s="144"/>
      <c r="K69" s="144"/>
      <c r="L69" s="144"/>
      <c r="M69" s="144"/>
      <c r="N69" s="144"/>
      <c r="O69" s="144"/>
      <c r="P69" s="144"/>
    </row>
    <row r="70" spans="1:16">
      <c r="A70" s="59" t="s">
        <v>7</v>
      </c>
      <c r="B70" s="59" t="s">
        <v>1873</v>
      </c>
      <c r="C70" s="59"/>
      <c r="D70" s="59"/>
      <c r="E70" s="59"/>
      <c r="F70" s="59"/>
      <c r="G70" s="59"/>
      <c r="H70" s="59"/>
      <c r="I70" s="59"/>
      <c r="J70" s="59"/>
      <c r="K70" s="59"/>
      <c r="L70" s="59"/>
      <c r="M70" s="59"/>
      <c r="N70" s="59"/>
      <c r="O70" s="59"/>
      <c r="P70" s="59"/>
    </row>
    <row r="71" spans="1:16">
      <c r="A71" s="59" t="s">
        <v>9</v>
      </c>
      <c r="B71" s="211" t="s">
        <v>1995</v>
      </c>
      <c r="C71" s="59"/>
      <c r="D71" s="59"/>
      <c r="E71" s="59"/>
      <c r="F71" s="59"/>
      <c r="G71" s="59"/>
      <c r="H71" s="59"/>
      <c r="I71" s="59"/>
      <c r="J71" s="59"/>
      <c r="K71" s="59"/>
      <c r="L71" s="59"/>
      <c r="M71" s="59"/>
      <c r="N71" s="59"/>
      <c r="O71" s="59"/>
      <c r="P71" s="59"/>
    </row>
    <row r="72" spans="1:16">
      <c r="A72" s="59" t="s">
        <v>11</v>
      </c>
      <c r="B72" s="59" t="s">
        <v>1991</v>
      </c>
      <c r="C72" s="59"/>
      <c r="D72" s="59"/>
      <c r="E72" s="59"/>
      <c r="F72" s="59"/>
      <c r="G72" s="59"/>
      <c r="H72" s="59"/>
      <c r="I72" s="59"/>
      <c r="J72" s="59"/>
      <c r="K72" s="59"/>
      <c r="L72" s="59"/>
      <c r="M72" s="59"/>
      <c r="N72" s="59"/>
      <c r="O72" s="59"/>
      <c r="P72" s="59"/>
    </row>
    <row r="73" spans="1:16">
      <c r="A73" s="59" t="s">
        <v>13</v>
      </c>
      <c r="B73" s="59" t="s">
        <v>59</v>
      </c>
      <c r="C73" s="59"/>
      <c r="D73" s="59"/>
      <c r="E73" s="59"/>
      <c r="F73" s="59"/>
      <c r="G73" s="59"/>
      <c r="H73" s="59"/>
      <c r="I73" s="59"/>
      <c r="J73" s="59"/>
      <c r="K73" s="59"/>
      <c r="L73" s="59"/>
      <c r="M73" s="59"/>
      <c r="N73" s="59"/>
      <c r="O73" s="59"/>
      <c r="P73" s="59"/>
    </row>
    <row r="74" spans="1:16">
      <c r="A74" s="59" t="s">
        <v>15</v>
      </c>
      <c r="B74" s="59">
        <v>1</v>
      </c>
      <c r="C74" s="59"/>
      <c r="D74" s="59"/>
      <c r="E74" s="59"/>
      <c r="F74" s="59"/>
      <c r="G74" s="59"/>
      <c r="H74" s="59"/>
      <c r="I74" s="59"/>
      <c r="J74" s="59"/>
      <c r="K74" s="59"/>
      <c r="L74" s="59"/>
      <c r="M74" s="59"/>
      <c r="N74" s="59"/>
      <c r="O74" s="59"/>
      <c r="P74" s="59"/>
    </row>
    <row r="75" spans="1:16">
      <c r="A75" s="59" t="s">
        <v>16</v>
      </c>
      <c r="B75" s="59" t="s">
        <v>17</v>
      </c>
      <c r="C75" s="59"/>
      <c r="D75" s="59"/>
      <c r="E75" s="59"/>
      <c r="F75" s="59"/>
      <c r="G75" s="59"/>
      <c r="H75" s="59"/>
      <c r="I75" s="59"/>
      <c r="J75" s="59"/>
      <c r="K75" s="59"/>
      <c r="L75" s="59"/>
      <c r="M75" s="59"/>
      <c r="N75" s="59"/>
      <c r="O75" s="59"/>
      <c r="P75" s="59"/>
    </row>
    <row r="76" spans="1:16" ht="15.6">
      <c r="A76" s="59" t="s">
        <v>18</v>
      </c>
      <c r="B76" s="180" t="s">
        <v>37</v>
      </c>
      <c r="C76" s="59"/>
      <c r="D76" s="59"/>
      <c r="E76" s="59" t="s">
        <v>235</v>
      </c>
      <c r="F76" s="59"/>
      <c r="G76" s="59"/>
      <c r="H76" s="59"/>
      <c r="I76" s="59"/>
      <c r="J76" s="59"/>
      <c r="K76" s="59"/>
      <c r="L76" s="59"/>
      <c r="M76" s="59"/>
      <c r="N76" s="59"/>
      <c r="O76" s="59"/>
      <c r="P76" s="59"/>
    </row>
    <row r="77" spans="1:16" ht="15.6">
      <c r="A77" s="181" t="s">
        <v>19</v>
      </c>
      <c r="B77" s="59"/>
      <c r="C77" s="59"/>
      <c r="D77" s="59"/>
      <c r="E77" s="59"/>
      <c r="F77" s="59"/>
      <c r="G77" s="59"/>
      <c r="H77" s="59"/>
      <c r="I77" s="59"/>
      <c r="J77" s="59"/>
      <c r="K77" s="59"/>
      <c r="L77" s="59"/>
      <c r="M77" s="59"/>
      <c r="N77" s="59"/>
      <c r="O77" s="59"/>
      <c r="P77" s="59"/>
    </row>
    <row r="78" spans="1:16" ht="15.6">
      <c r="A78" s="181" t="s">
        <v>20</v>
      </c>
      <c r="B78" s="181" t="s">
        <v>21</v>
      </c>
      <c r="C78" s="181" t="s">
        <v>217</v>
      </c>
      <c r="D78" s="181" t="s">
        <v>18</v>
      </c>
      <c r="E78" s="181" t="s">
        <v>22</v>
      </c>
      <c r="F78" s="181" t="s">
        <v>7</v>
      </c>
      <c r="G78" s="181" t="s">
        <v>13</v>
      </c>
      <c r="H78" s="181" t="s">
        <v>16</v>
      </c>
      <c r="I78" s="181" t="s">
        <v>23</v>
      </c>
      <c r="J78" s="181" t="s">
        <v>24</v>
      </c>
      <c r="K78" s="181" t="s">
        <v>25</v>
      </c>
      <c r="L78" s="181" t="s">
        <v>26</v>
      </c>
      <c r="M78" s="181" t="s">
        <v>27</v>
      </c>
      <c r="N78" s="181" t="s">
        <v>28</v>
      </c>
      <c r="O78" s="181" t="s">
        <v>11</v>
      </c>
      <c r="P78" s="181" t="s">
        <v>702</v>
      </c>
    </row>
    <row r="79" spans="1:16" ht="15.6">
      <c r="A79" s="180" t="str">
        <f>B69</f>
        <v>treatment of electronics ,PEMFC EoL, PEMFC-bat, Long-Term</v>
      </c>
      <c r="B79" s="180">
        <v>1</v>
      </c>
      <c r="C79" s="180"/>
      <c r="D79" s="180" t="s">
        <v>37</v>
      </c>
      <c r="E79" s="59" t="s">
        <v>2</v>
      </c>
      <c r="F79" s="59" t="s">
        <v>1984</v>
      </c>
      <c r="G79" s="180" t="s">
        <v>59</v>
      </c>
      <c r="H79" s="59" t="s">
        <v>30</v>
      </c>
      <c r="I79" s="59">
        <v>0</v>
      </c>
      <c r="J79" s="180" t="s">
        <v>31</v>
      </c>
      <c r="K79" s="180" t="s">
        <v>31</v>
      </c>
      <c r="L79" s="180" t="s">
        <v>31</v>
      </c>
      <c r="M79" s="180" t="s">
        <v>31</v>
      </c>
      <c r="N79" s="180" t="s">
        <v>31</v>
      </c>
      <c r="O79" s="180" t="s">
        <v>1385</v>
      </c>
      <c r="P79" s="59"/>
    </row>
    <row r="80" spans="1:16" ht="15.6">
      <c r="A80" s="88" t="s">
        <v>395</v>
      </c>
      <c r="B80">
        <v>-1</v>
      </c>
      <c r="D80" s="180" t="s">
        <v>37</v>
      </c>
      <c r="E80" s="59" t="s">
        <v>2</v>
      </c>
      <c r="F80" s="59" t="s">
        <v>1984</v>
      </c>
      <c r="G80" s="180" t="s">
        <v>82</v>
      </c>
      <c r="H80" s="59" t="s">
        <v>33</v>
      </c>
      <c r="I80" s="59">
        <v>0</v>
      </c>
      <c r="J80" s="180" t="s">
        <v>31</v>
      </c>
      <c r="K80" s="180" t="s">
        <v>31</v>
      </c>
      <c r="L80" s="180" t="s">
        <v>31</v>
      </c>
      <c r="M80" s="180" t="s">
        <v>31</v>
      </c>
      <c r="N80" s="180" t="s">
        <v>31</v>
      </c>
    </row>
    <row r="81" spans="1:16" s="70" customFormat="1" ht="15.6">
      <c r="A81" s="178" t="s">
        <v>5</v>
      </c>
      <c r="B81" s="178" t="s">
        <v>1996</v>
      </c>
      <c r="C81" s="178"/>
      <c r="D81" s="69"/>
      <c r="E81" s="144"/>
      <c r="F81" s="144"/>
      <c r="G81" s="144"/>
      <c r="H81" s="144"/>
      <c r="I81" s="144"/>
      <c r="J81" s="144"/>
      <c r="K81" s="144"/>
      <c r="L81" s="144"/>
      <c r="M81" s="144"/>
      <c r="N81" s="144"/>
      <c r="O81" s="144"/>
      <c r="P81" s="144"/>
    </row>
    <row r="82" spans="1:16">
      <c r="A82" s="59" t="s">
        <v>7</v>
      </c>
      <c r="B82" s="59" t="s">
        <v>1873</v>
      </c>
      <c r="C82" s="59"/>
      <c r="D82" s="59"/>
      <c r="E82" s="59"/>
      <c r="F82" s="59"/>
      <c r="G82" s="59"/>
      <c r="H82" s="59"/>
      <c r="I82" s="59"/>
      <c r="J82" s="59"/>
      <c r="K82" s="59"/>
      <c r="L82" s="59"/>
      <c r="M82" s="59"/>
      <c r="N82" s="59"/>
      <c r="O82" s="59"/>
      <c r="P82" s="59"/>
    </row>
    <row r="83" spans="1:16">
      <c r="A83" s="59" t="s">
        <v>9</v>
      </c>
      <c r="B83" s="211" t="s">
        <v>1997</v>
      </c>
      <c r="C83" s="59"/>
      <c r="D83" s="59"/>
      <c r="E83" s="59"/>
      <c r="F83" s="59"/>
      <c r="G83" s="59"/>
      <c r="H83" s="59"/>
      <c r="I83" s="59"/>
      <c r="J83" s="59"/>
      <c r="K83" s="59"/>
      <c r="L83" s="59"/>
      <c r="M83" s="59"/>
      <c r="N83" s="59"/>
      <c r="O83" s="59"/>
      <c r="P83" s="59"/>
    </row>
    <row r="84" spans="1:16">
      <c r="A84" s="59" t="s">
        <v>11</v>
      </c>
      <c r="B84" s="59" t="s">
        <v>1991</v>
      </c>
      <c r="C84" s="59"/>
      <c r="D84" s="59"/>
      <c r="E84" s="59"/>
      <c r="F84" s="59"/>
      <c r="G84" s="59"/>
      <c r="H84" s="59"/>
      <c r="I84" s="59"/>
      <c r="J84" s="59"/>
      <c r="K84" s="59"/>
      <c r="L84" s="59"/>
      <c r="M84" s="59"/>
      <c r="N84" s="59"/>
      <c r="O84" s="59"/>
      <c r="P84" s="59"/>
    </row>
    <row r="85" spans="1:16">
      <c r="A85" s="59" t="s">
        <v>13</v>
      </c>
      <c r="B85" s="59" t="s">
        <v>59</v>
      </c>
      <c r="C85" s="59"/>
      <c r="D85" s="59"/>
      <c r="E85" s="59"/>
      <c r="F85" s="59"/>
      <c r="G85" s="59"/>
      <c r="H85" s="59"/>
      <c r="I85" s="59"/>
      <c r="J85" s="59"/>
      <c r="K85" s="59"/>
      <c r="L85" s="59"/>
      <c r="M85" s="59"/>
      <c r="N85" s="59"/>
      <c r="O85" s="59"/>
      <c r="P85" s="59"/>
    </row>
    <row r="86" spans="1:16">
      <c r="A86" s="59" t="s">
        <v>15</v>
      </c>
      <c r="B86" s="59">
        <v>1</v>
      </c>
      <c r="C86" s="59"/>
      <c r="D86" s="59"/>
      <c r="E86" s="59"/>
      <c r="F86" s="59"/>
      <c r="G86" s="59"/>
      <c r="H86" s="59"/>
      <c r="I86" s="59"/>
      <c r="J86" s="59"/>
      <c r="K86" s="59"/>
      <c r="L86" s="59"/>
      <c r="M86" s="59"/>
      <c r="N86" s="59"/>
      <c r="O86" s="59"/>
      <c r="P86" s="59"/>
    </row>
    <row r="87" spans="1:16">
      <c r="A87" s="59" t="s">
        <v>16</v>
      </c>
      <c r="B87" s="59" t="s">
        <v>17</v>
      </c>
      <c r="C87" s="59"/>
      <c r="D87" s="59"/>
      <c r="E87" s="59"/>
      <c r="F87" s="59"/>
      <c r="G87" s="59"/>
      <c r="H87" s="59"/>
      <c r="I87" s="59"/>
      <c r="J87" s="59"/>
      <c r="K87" s="59"/>
      <c r="L87" s="59"/>
      <c r="M87" s="59"/>
      <c r="N87" s="59"/>
      <c r="O87" s="59"/>
      <c r="P87" s="59"/>
    </row>
    <row r="88" spans="1:16" ht="15.6">
      <c r="A88" s="59" t="s">
        <v>18</v>
      </c>
      <c r="B88" s="180" t="s">
        <v>18</v>
      </c>
      <c r="C88" s="59"/>
      <c r="D88" s="59"/>
      <c r="E88" s="59" t="s">
        <v>235</v>
      </c>
      <c r="F88" s="59"/>
      <c r="G88" s="59"/>
      <c r="H88" s="59"/>
      <c r="I88" s="59"/>
      <c r="J88" s="59"/>
      <c r="K88" s="59"/>
      <c r="L88" s="59"/>
      <c r="M88" s="59"/>
      <c r="N88" s="59"/>
      <c r="O88" s="59"/>
      <c r="P88" s="59"/>
    </row>
    <row r="89" spans="1:16" ht="15.6">
      <c r="A89" s="181" t="s">
        <v>19</v>
      </c>
      <c r="B89" s="59"/>
      <c r="C89" s="59"/>
      <c r="D89" s="59"/>
      <c r="E89" s="59"/>
      <c r="F89" s="59"/>
      <c r="G89" s="59"/>
      <c r="H89" s="59"/>
      <c r="I89" s="59"/>
      <c r="J89" s="59"/>
      <c r="K89" s="59"/>
      <c r="L89" s="59"/>
      <c r="M89" s="59"/>
      <c r="N89" s="59"/>
      <c r="O89" s="59"/>
      <c r="P89" s="59"/>
    </row>
    <row r="90" spans="1:16" ht="15.6">
      <c r="A90" s="181" t="s">
        <v>20</v>
      </c>
      <c r="B90" s="181" t="s">
        <v>21</v>
      </c>
      <c r="C90" s="181" t="s">
        <v>217</v>
      </c>
      <c r="D90" s="181" t="s">
        <v>18</v>
      </c>
      <c r="E90" s="181" t="s">
        <v>22</v>
      </c>
      <c r="F90" s="181" t="s">
        <v>7</v>
      </c>
      <c r="G90" s="181" t="s">
        <v>13</v>
      </c>
      <c r="H90" s="181" t="s">
        <v>16</v>
      </c>
      <c r="I90" s="181" t="s">
        <v>23</v>
      </c>
      <c r="J90" s="181" t="s">
        <v>24</v>
      </c>
      <c r="K90" s="181" t="s">
        <v>25</v>
      </c>
      <c r="L90" s="181" t="s">
        <v>26</v>
      </c>
      <c r="M90" s="181" t="s">
        <v>27</v>
      </c>
      <c r="N90" s="181" t="s">
        <v>28</v>
      </c>
      <c r="O90" s="181" t="s">
        <v>11</v>
      </c>
      <c r="P90" s="181" t="s">
        <v>702</v>
      </c>
    </row>
    <row r="91" spans="1:16" ht="15.6">
      <c r="A91" s="180" t="str">
        <f>B81</f>
        <v>treatment of PEMFC cell ,PEMFC EoL, PEMFC-bat, Long-Term</v>
      </c>
      <c r="B91" s="180">
        <v>1</v>
      </c>
      <c r="C91" s="180"/>
      <c r="D91" s="180" t="s">
        <v>18</v>
      </c>
      <c r="E91" s="59" t="s">
        <v>2</v>
      </c>
      <c r="F91" s="59" t="s">
        <v>1984</v>
      </c>
      <c r="G91" s="180" t="s">
        <v>59</v>
      </c>
      <c r="H91" s="59" t="s">
        <v>30</v>
      </c>
      <c r="I91" s="59">
        <v>0</v>
      </c>
      <c r="J91" s="180" t="s">
        <v>31</v>
      </c>
      <c r="K91" s="180" t="s">
        <v>31</v>
      </c>
      <c r="L91" s="180" t="s">
        <v>31</v>
      </c>
      <c r="M91" s="180" t="s">
        <v>31</v>
      </c>
      <c r="N91" s="180" t="s">
        <v>31</v>
      </c>
      <c r="O91" s="180"/>
      <c r="P91" s="59"/>
    </row>
    <row r="92" spans="1:16" ht="15.6">
      <c r="A92" t="str">
        <f>A12</f>
        <v>treatment of aluminium,PEMFC EoL, PEMFC-bat, Long-Term</v>
      </c>
      <c r="B92">
        <v>35.402494329999996</v>
      </c>
      <c r="D92" s="180" t="s">
        <v>37</v>
      </c>
      <c r="E92" s="59" t="s">
        <v>2</v>
      </c>
      <c r="F92" s="59" t="s">
        <v>1984</v>
      </c>
      <c r="G92" s="180" t="s">
        <v>59</v>
      </c>
      <c r="H92" t="s">
        <v>33</v>
      </c>
      <c r="I92" s="59">
        <v>0</v>
      </c>
      <c r="J92" s="180" t="s">
        <v>31</v>
      </c>
      <c r="K92" s="180" t="s">
        <v>31</v>
      </c>
      <c r="L92" s="180" t="s">
        <v>31</v>
      </c>
      <c r="M92" s="180" t="s">
        <v>31</v>
      </c>
      <c r="N92" s="180" t="s">
        <v>31</v>
      </c>
      <c r="O92" t="s">
        <v>1998</v>
      </c>
    </row>
    <row r="93" spans="1:16" ht="15.6">
      <c r="A93" t="str">
        <f>A79</f>
        <v>treatment of electronics ,PEMFC EoL, PEMFC-bat, Long-Term</v>
      </c>
      <c r="B93" s="213">
        <v>6.1547820008690461</v>
      </c>
      <c r="D93" s="180" t="s">
        <v>37</v>
      </c>
      <c r="E93" s="59" t="s">
        <v>2</v>
      </c>
      <c r="F93" s="59" t="s">
        <v>1984</v>
      </c>
      <c r="G93" s="180" t="s">
        <v>59</v>
      </c>
      <c r="H93" t="s">
        <v>33</v>
      </c>
      <c r="I93" s="59">
        <v>0</v>
      </c>
      <c r="J93" s="180" t="s">
        <v>31</v>
      </c>
      <c r="K93" s="180" t="s">
        <v>31</v>
      </c>
      <c r="L93" s="180" t="s">
        <v>31</v>
      </c>
      <c r="M93" s="180" t="s">
        <v>31</v>
      </c>
      <c r="N93" s="180" t="s">
        <v>31</v>
      </c>
      <c r="O93" t="s">
        <v>653</v>
      </c>
    </row>
    <row r="94" spans="1:16" ht="15.6">
      <c r="A94" t="str">
        <f>A27</f>
        <v>treatment of copper,PEMFC EoL, PEMFC-bat, Long-Term</v>
      </c>
      <c r="B94" s="213">
        <v>1.5829046275945502</v>
      </c>
      <c r="D94" s="180" t="s">
        <v>37</v>
      </c>
      <c r="E94" s="59" t="s">
        <v>2</v>
      </c>
      <c r="F94" s="59" t="s">
        <v>1984</v>
      </c>
      <c r="G94" s="180" t="s">
        <v>59</v>
      </c>
      <c r="H94" t="s">
        <v>33</v>
      </c>
      <c r="I94" s="59">
        <v>0</v>
      </c>
      <c r="J94" s="180" t="s">
        <v>31</v>
      </c>
      <c r="K94" s="180" t="s">
        <v>31</v>
      </c>
      <c r="L94" s="180" t="s">
        <v>31</v>
      </c>
      <c r="M94" s="180" t="s">
        <v>31</v>
      </c>
      <c r="N94" s="180" t="s">
        <v>31</v>
      </c>
      <c r="O94" t="s">
        <v>124</v>
      </c>
    </row>
    <row r="95" spans="1:16" ht="15.6">
      <c r="A95" t="str">
        <f>A67</f>
        <v>treatment of graphite,PEMFC EoL, PEMFC-bat, Long-Term</v>
      </c>
      <c r="B95" s="213">
        <v>2.7228210273349935</v>
      </c>
      <c r="D95" s="180" t="s">
        <v>37</v>
      </c>
      <c r="E95" s="59" t="s">
        <v>2</v>
      </c>
      <c r="F95" s="59" t="s">
        <v>1984</v>
      </c>
      <c r="G95" s="180" t="s">
        <v>59</v>
      </c>
      <c r="H95" t="s">
        <v>33</v>
      </c>
      <c r="I95" s="59">
        <v>0</v>
      </c>
      <c r="J95" s="180" t="s">
        <v>31</v>
      </c>
      <c r="K95" s="180" t="s">
        <v>31</v>
      </c>
      <c r="L95" s="180" t="s">
        <v>31</v>
      </c>
      <c r="M95" s="180" t="s">
        <v>31</v>
      </c>
      <c r="N95" s="180" t="s">
        <v>31</v>
      </c>
      <c r="O95" t="s">
        <v>595</v>
      </c>
    </row>
    <row r="96" spans="1:16" ht="15.6">
      <c r="A96" t="str">
        <f>A55</f>
        <v>treatment of composites,PEMFC EoL, PEMFC-bat, Long-Term</v>
      </c>
      <c r="B96" s="213">
        <v>5.4715051442883773</v>
      </c>
      <c r="D96" s="180" t="s">
        <v>37</v>
      </c>
      <c r="E96" s="59" t="s">
        <v>2</v>
      </c>
      <c r="F96" s="59" t="s">
        <v>1984</v>
      </c>
      <c r="G96" s="180" t="s">
        <v>59</v>
      </c>
      <c r="H96" t="s">
        <v>33</v>
      </c>
      <c r="I96" s="59">
        <v>0</v>
      </c>
      <c r="J96" s="180" t="s">
        <v>31</v>
      </c>
      <c r="K96" s="180" t="s">
        <v>31</v>
      </c>
      <c r="L96" s="180" t="s">
        <v>31</v>
      </c>
      <c r="M96" s="180" t="s">
        <v>31</v>
      </c>
      <c r="N96" s="180" t="s">
        <v>31</v>
      </c>
      <c r="O96" t="s">
        <v>93</v>
      </c>
    </row>
    <row r="97" spans="1:15" ht="15.6">
      <c r="A97" t="str">
        <f>A55</f>
        <v>treatment of composites,PEMFC EoL, PEMFC-bat, Long-Term</v>
      </c>
      <c r="B97" s="213">
        <v>4.2105263119999998</v>
      </c>
      <c r="D97" s="180" t="s">
        <v>37</v>
      </c>
      <c r="E97" s="59" t="s">
        <v>2</v>
      </c>
      <c r="F97" s="59" t="s">
        <v>1984</v>
      </c>
      <c r="G97" s="180" t="s">
        <v>59</v>
      </c>
      <c r="H97" t="s">
        <v>33</v>
      </c>
      <c r="I97" s="59">
        <v>0</v>
      </c>
      <c r="J97" s="180" t="s">
        <v>31</v>
      </c>
      <c r="K97" s="180" t="s">
        <v>31</v>
      </c>
      <c r="L97" s="180" t="s">
        <v>31</v>
      </c>
      <c r="M97" s="180" t="s">
        <v>31</v>
      </c>
      <c r="N97" s="180" t="s">
        <v>31</v>
      </c>
      <c r="O97" t="s">
        <v>648</v>
      </c>
    </row>
    <row r="98" spans="1:15" ht="15.6">
      <c r="A98" t="str">
        <f>A55</f>
        <v>treatment of composites,PEMFC EoL, PEMFC-bat, Long-Term</v>
      </c>
      <c r="B98" s="23">
        <v>13.708622431087118</v>
      </c>
      <c r="D98" s="180" t="s">
        <v>37</v>
      </c>
      <c r="E98" s="59" t="s">
        <v>2</v>
      </c>
      <c r="F98" s="59" t="s">
        <v>1984</v>
      </c>
      <c r="G98" s="180" t="s">
        <v>59</v>
      </c>
      <c r="H98" t="s">
        <v>33</v>
      </c>
      <c r="I98" s="59">
        <v>0</v>
      </c>
      <c r="J98" s="180" t="s">
        <v>31</v>
      </c>
      <c r="K98" s="180" t="s">
        <v>31</v>
      </c>
      <c r="L98" s="180" t="s">
        <v>31</v>
      </c>
      <c r="M98" s="180" t="s">
        <v>31</v>
      </c>
      <c r="N98" s="180" t="s">
        <v>31</v>
      </c>
      <c r="O98" t="s">
        <v>121</v>
      </c>
    </row>
    <row r="99" spans="1:15" ht="15.6">
      <c r="A99" t="str">
        <f>A41</f>
        <v>treatment of steel,PEMFC EoL, PEMFC-bat, Long-Term</v>
      </c>
      <c r="B99" s="23">
        <v>174.98644778405244</v>
      </c>
      <c r="D99" s="180" t="s">
        <v>37</v>
      </c>
      <c r="E99" s="59" t="s">
        <v>2</v>
      </c>
      <c r="F99" s="59" t="s">
        <v>1984</v>
      </c>
      <c r="G99" s="180" t="s">
        <v>59</v>
      </c>
      <c r="H99" t="s">
        <v>33</v>
      </c>
      <c r="I99" s="59">
        <v>0</v>
      </c>
      <c r="J99" s="180" t="s">
        <v>31</v>
      </c>
      <c r="K99" s="180" t="s">
        <v>31</v>
      </c>
      <c r="L99" s="180" t="s">
        <v>31</v>
      </c>
      <c r="M99" s="180" t="s">
        <v>31</v>
      </c>
      <c r="N99" s="180" t="s">
        <v>31</v>
      </c>
      <c r="O99" t="s">
        <v>604</v>
      </c>
    </row>
    <row r="100" spans="1:15" ht="15.6">
      <c r="A100" t="str">
        <f>A55</f>
        <v>treatment of composites,PEMFC EoL, PEMFC-bat, Long-Term</v>
      </c>
      <c r="B100" s="23">
        <v>288.33240998671579</v>
      </c>
      <c r="D100" s="180" t="s">
        <v>37</v>
      </c>
      <c r="E100" s="59" t="s">
        <v>2</v>
      </c>
      <c r="F100" s="59" t="s">
        <v>1984</v>
      </c>
      <c r="G100" s="180" t="s">
        <v>59</v>
      </c>
      <c r="H100" t="s">
        <v>33</v>
      </c>
      <c r="I100" s="59">
        <v>0</v>
      </c>
      <c r="J100" s="180" t="s">
        <v>31</v>
      </c>
      <c r="K100" s="180" t="s">
        <v>31</v>
      </c>
      <c r="L100" s="180" t="s">
        <v>31</v>
      </c>
      <c r="M100" s="180" t="s">
        <v>31</v>
      </c>
      <c r="N100" s="180" t="s">
        <v>31</v>
      </c>
      <c r="O100" t="s">
        <v>145</v>
      </c>
    </row>
  </sheetData>
  <conditionalFormatting sqref="O92">
    <cfRule type="containsText" dxfId="0" priority="1" operator="containsText" text="name">
      <formula>NOT(ISERROR(SEARCH("name",O92)))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02D98-ADE7-4578-824C-A587D310F88B}">
  <dimension ref="A1:R17"/>
  <sheetViews>
    <sheetView zoomScale="83" zoomScaleNormal="85" workbookViewId="0">
      <pane xSplit="1" topLeftCell="B1" activePane="topRight" state="frozen"/>
      <selection pane="topRight" activeCell="A12" sqref="A12"/>
      <selection activeCell="A12" sqref="A12"/>
    </sheetView>
  </sheetViews>
  <sheetFormatPr defaultRowHeight="14.45"/>
  <cols>
    <col min="1" max="1" width="50.42578125" customWidth="1"/>
    <col min="2" max="2" width="35" customWidth="1"/>
    <col min="3" max="3" width="8" bestFit="1" customWidth="1"/>
    <col min="4" max="4" width="8" customWidth="1"/>
    <col min="5" max="5" width="17.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ht="15" thickBot="1">
      <c r="A1" t="s">
        <v>0</v>
      </c>
      <c r="B1" s="23">
        <v>14</v>
      </c>
      <c r="C1" s="72" t="s">
        <v>212</v>
      </c>
      <c r="D1" s="72"/>
    </row>
    <row r="2" spans="1:18">
      <c r="A2" s="193" t="s">
        <v>5</v>
      </c>
      <c r="B2" s="194" t="s">
        <v>213</v>
      </c>
      <c r="C2" s="195"/>
      <c r="D2" s="195"/>
      <c r="E2" s="195"/>
      <c r="F2" s="195"/>
      <c r="G2" s="195"/>
      <c r="H2" s="195"/>
      <c r="I2" s="195"/>
      <c r="J2" s="195"/>
      <c r="K2" s="195"/>
      <c r="L2" s="195"/>
      <c r="M2" s="195"/>
      <c r="N2" s="196"/>
      <c r="R2" s="58"/>
    </row>
    <row r="3" spans="1:18">
      <c r="A3" s="197" t="s">
        <v>7</v>
      </c>
      <c r="B3" t="s">
        <v>214</v>
      </c>
      <c r="N3" s="198"/>
      <c r="R3" s="58"/>
    </row>
    <row r="4" spans="1:18">
      <c r="A4" s="197" t="s">
        <v>9</v>
      </c>
      <c r="B4" t="s">
        <v>215</v>
      </c>
      <c r="N4" s="198"/>
    </row>
    <row r="5" spans="1:18">
      <c r="A5" s="197" t="s">
        <v>11</v>
      </c>
      <c r="B5" t="s">
        <v>216</v>
      </c>
      <c r="N5" s="198"/>
      <c r="R5" s="58"/>
    </row>
    <row r="6" spans="1:18">
      <c r="A6" s="197" t="s">
        <v>13</v>
      </c>
      <c r="B6" t="s">
        <v>59</v>
      </c>
      <c r="N6" s="198"/>
      <c r="R6" s="58"/>
    </row>
    <row r="7" spans="1:18">
      <c r="A7" s="197" t="s">
        <v>15</v>
      </c>
      <c r="B7">
        <v>1</v>
      </c>
      <c r="N7" s="198"/>
      <c r="R7" s="58"/>
    </row>
    <row r="8" spans="1:18">
      <c r="A8" s="197" t="s">
        <v>16</v>
      </c>
      <c r="B8" t="s">
        <v>17</v>
      </c>
      <c r="N8" s="198"/>
    </row>
    <row r="9" spans="1:18">
      <c r="A9" s="197" t="s">
        <v>18</v>
      </c>
      <c r="B9" t="s">
        <v>37</v>
      </c>
      <c r="N9" s="198"/>
    </row>
    <row r="10" spans="1:18">
      <c r="A10" s="199" t="s">
        <v>19</v>
      </c>
      <c r="N10" s="198"/>
    </row>
    <row r="11" spans="1:18">
      <c r="A11" s="199" t="s">
        <v>20</v>
      </c>
      <c r="B11" s="131" t="s">
        <v>21</v>
      </c>
      <c r="C11" s="131" t="s">
        <v>18</v>
      </c>
      <c r="D11" s="131" t="s">
        <v>217</v>
      </c>
      <c r="E11" s="131" t="s">
        <v>22</v>
      </c>
      <c r="F11" s="131" t="s">
        <v>7</v>
      </c>
      <c r="G11" s="131" t="s">
        <v>13</v>
      </c>
      <c r="H11" s="131" t="s">
        <v>16</v>
      </c>
      <c r="I11" s="131" t="s">
        <v>23</v>
      </c>
      <c r="J11" s="131" t="s">
        <v>24</v>
      </c>
      <c r="K11" s="131" t="s">
        <v>25</v>
      </c>
      <c r="L11" s="131" t="s">
        <v>26</v>
      </c>
      <c r="M11" s="131" t="s">
        <v>27</v>
      </c>
      <c r="N11" s="200" t="s">
        <v>28</v>
      </c>
    </row>
    <row r="12" spans="1:18">
      <c r="A12" s="197" t="str">
        <f>B2</f>
        <v>SAF production, long-term, proxy</v>
      </c>
      <c r="B12">
        <v>1</v>
      </c>
      <c r="C12" t="s">
        <v>37</v>
      </c>
      <c r="E12" t="s">
        <v>2</v>
      </c>
      <c r="F12" t="s">
        <v>29</v>
      </c>
      <c r="G12" t="s">
        <v>59</v>
      </c>
      <c r="H12" t="s">
        <v>30</v>
      </c>
      <c r="I12">
        <v>1</v>
      </c>
      <c r="J12" t="s">
        <v>31</v>
      </c>
      <c r="K12" t="s">
        <v>31</v>
      </c>
      <c r="L12" t="s">
        <v>31</v>
      </c>
      <c r="M12" t="s">
        <v>31</v>
      </c>
      <c r="N12" t="s">
        <v>31</v>
      </c>
    </row>
    <row r="13" spans="1:18">
      <c r="A13" s="197" t="s">
        <v>77</v>
      </c>
      <c r="B13">
        <v>-3.1</v>
      </c>
      <c r="C13" t="s">
        <v>37</v>
      </c>
      <c r="E13" t="s">
        <v>43</v>
      </c>
      <c r="F13" t="s">
        <v>44</v>
      </c>
      <c r="G13" t="s">
        <v>29</v>
      </c>
      <c r="H13" t="s">
        <v>45</v>
      </c>
      <c r="I13">
        <v>0</v>
      </c>
      <c r="J13" t="s">
        <v>31</v>
      </c>
      <c r="K13" t="s">
        <v>31</v>
      </c>
      <c r="L13" t="s">
        <v>31</v>
      </c>
      <c r="M13" t="s">
        <v>31</v>
      </c>
      <c r="N13" t="s">
        <v>31</v>
      </c>
      <c r="O13" t="s">
        <v>218</v>
      </c>
    </row>
    <row r="14" spans="1:18">
      <c r="A14" s="58" t="s">
        <v>219</v>
      </c>
      <c r="B14">
        <v>0.72</v>
      </c>
      <c r="C14" t="s">
        <v>37</v>
      </c>
      <c r="D14" s="58" t="s">
        <v>220</v>
      </c>
      <c r="E14" s="59" t="s">
        <v>221</v>
      </c>
      <c r="F14" t="s">
        <v>29</v>
      </c>
      <c r="G14" t="s">
        <v>222</v>
      </c>
      <c r="H14" t="s">
        <v>33</v>
      </c>
      <c r="I14">
        <v>0</v>
      </c>
      <c r="J14" t="s">
        <v>31</v>
      </c>
      <c r="K14" t="s">
        <v>31</v>
      </c>
      <c r="L14" t="s">
        <v>31</v>
      </c>
      <c r="M14" t="s">
        <v>31</v>
      </c>
      <c r="N14" t="s">
        <v>31</v>
      </c>
      <c r="O14" t="s">
        <v>223</v>
      </c>
    </row>
    <row r="15" spans="1:18">
      <c r="A15" s="197" t="s">
        <v>224</v>
      </c>
      <c r="B15">
        <f>($B$12-$B$14)*1/3</f>
        <v>9.3333333333333338E-2</v>
      </c>
      <c r="C15" t="s">
        <v>37</v>
      </c>
      <c r="E15" s="59" t="s">
        <v>221</v>
      </c>
      <c r="F15" t="s">
        <v>29</v>
      </c>
      <c r="G15" t="s">
        <v>35</v>
      </c>
      <c r="H15" t="s">
        <v>33</v>
      </c>
      <c r="I15">
        <v>0</v>
      </c>
      <c r="J15" t="s">
        <v>31</v>
      </c>
      <c r="K15" t="s">
        <v>31</v>
      </c>
      <c r="L15" t="s">
        <v>31</v>
      </c>
      <c r="M15" t="s">
        <v>31</v>
      </c>
      <c r="N15" t="s">
        <v>31</v>
      </c>
      <c r="O15" t="s">
        <v>225</v>
      </c>
    </row>
    <row r="16" spans="1:18">
      <c r="A16" s="197" t="s">
        <v>226</v>
      </c>
      <c r="B16">
        <f>($B$12-$B$14)*1/3</f>
        <v>9.3333333333333338E-2</v>
      </c>
      <c r="C16" t="s">
        <v>37</v>
      </c>
      <c r="E16" s="59" t="s">
        <v>221</v>
      </c>
      <c r="F16" t="s">
        <v>29</v>
      </c>
      <c r="G16" t="s">
        <v>35</v>
      </c>
      <c r="H16" t="s">
        <v>33</v>
      </c>
      <c r="I16">
        <v>0</v>
      </c>
      <c r="J16" t="s">
        <v>31</v>
      </c>
      <c r="K16" t="s">
        <v>31</v>
      </c>
      <c r="L16" t="s">
        <v>31</v>
      </c>
      <c r="M16" t="s">
        <v>31</v>
      </c>
      <c r="N16" t="s">
        <v>31</v>
      </c>
      <c r="O16" t="s">
        <v>227</v>
      </c>
    </row>
    <row r="17" spans="1:15">
      <c r="A17" t="s">
        <v>228</v>
      </c>
      <c r="B17">
        <f>($B$12-$B$14)*1/3</f>
        <v>9.3333333333333338E-2</v>
      </c>
      <c r="C17" t="s">
        <v>37</v>
      </c>
      <c r="D17" s="58"/>
      <c r="E17" s="59" t="s">
        <v>221</v>
      </c>
      <c r="F17" t="s">
        <v>29</v>
      </c>
      <c r="G17" t="s">
        <v>35</v>
      </c>
      <c r="H17" t="s">
        <v>33</v>
      </c>
      <c r="I17">
        <v>0</v>
      </c>
      <c r="J17" t="s">
        <v>31</v>
      </c>
      <c r="K17" t="s">
        <v>31</v>
      </c>
      <c r="L17" t="s">
        <v>31</v>
      </c>
      <c r="M17" t="s">
        <v>31</v>
      </c>
      <c r="N17" t="s">
        <v>31</v>
      </c>
      <c r="O17" t="s">
        <v>229</v>
      </c>
    </row>
  </sheetData>
  <pageMargins left="0.7" right="0.7" top="0.75" bottom="0.75" header="0.3" footer="0.3"/>
  <pageSetup orientation="portrait" horizontalDpi="1200" verticalDpi="1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58611-B0F9-48FD-B617-53275955020C}">
  <dimension ref="A1:X129"/>
  <sheetViews>
    <sheetView zoomScale="85" zoomScaleNormal="85" workbookViewId="0">
      <selection activeCell="A2" sqref="A2:XFD3"/>
    </sheetView>
  </sheetViews>
  <sheetFormatPr defaultColWidth="8.7109375" defaultRowHeight="14.45"/>
  <cols>
    <col min="1" max="1" width="77.85546875" customWidth="1"/>
    <col min="2" max="2" width="39.140625" customWidth="1"/>
    <col min="3" max="3" width="16.5703125" customWidth="1"/>
    <col min="4" max="4" width="14.5703125" customWidth="1"/>
    <col min="5" max="5" width="37" customWidth="1"/>
    <col min="7" max="7" width="10.42578125" bestFit="1" customWidth="1"/>
    <col min="8" max="8" width="13.140625" bestFit="1" customWidth="1"/>
    <col min="9" max="9" width="15.85546875" bestFit="1" customWidth="1"/>
    <col min="10" max="11" width="8.85546875" bestFit="1" customWidth="1"/>
    <col min="14" max="14" width="10.85546875" bestFit="1" customWidth="1"/>
    <col min="15" max="15" width="23.85546875" customWidth="1"/>
    <col min="16" max="16" width="27" customWidth="1"/>
    <col min="17" max="17" width="15.85546875" customWidth="1"/>
    <col min="18" max="18" width="14.42578125" customWidth="1"/>
    <col min="19" max="19" width="8.85546875" style="22" bestFit="1" customWidth="1"/>
    <col min="20" max="20" width="8.7109375" style="22"/>
    <col min="21" max="21" width="9.7109375" style="22" bestFit="1" customWidth="1"/>
    <col min="22" max="22" width="8.7109375" style="22"/>
    <col min="23" max="23" width="8.85546875" style="22" bestFit="1" customWidth="1"/>
    <col min="24" max="24" width="8.7109375" style="22"/>
  </cols>
  <sheetData>
    <row r="1" spans="1:24">
      <c r="A1" t="s">
        <v>0</v>
      </c>
      <c r="B1">
        <v>14</v>
      </c>
      <c r="D1" s="22"/>
      <c r="P1" s="22" t="s">
        <v>230</v>
      </c>
      <c r="Q1" s="176"/>
    </row>
    <row r="2" spans="1:24" s="70" customFormat="1">
      <c r="A2" s="224" t="s">
        <v>5</v>
      </c>
      <c r="B2" s="224" t="s">
        <v>52</v>
      </c>
      <c r="C2" s="224"/>
      <c r="D2" s="69"/>
      <c r="Q2" s="70" t="s">
        <v>231</v>
      </c>
      <c r="S2" s="225"/>
      <c r="T2" s="225"/>
      <c r="U2" s="225"/>
      <c r="V2" s="225"/>
      <c r="W2" s="225"/>
      <c r="X2" s="225"/>
    </row>
    <row r="3" spans="1:24">
      <c r="A3" t="s">
        <v>7</v>
      </c>
      <c r="B3" t="s">
        <v>232</v>
      </c>
      <c r="Q3" t="s">
        <v>231</v>
      </c>
    </row>
    <row r="4" spans="1:24">
      <c r="A4" t="s">
        <v>9</v>
      </c>
      <c r="B4" s="226" t="s">
        <v>233</v>
      </c>
      <c r="C4" s="22"/>
      <c r="Q4" t="s">
        <v>231</v>
      </c>
    </row>
    <row r="5" spans="1:24">
      <c r="A5" t="s">
        <v>11</v>
      </c>
      <c r="B5" t="s">
        <v>234</v>
      </c>
      <c r="Q5" t="s">
        <v>231</v>
      </c>
    </row>
    <row r="6" spans="1:24">
      <c r="A6" t="s">
        <v>13</v>
      </c>
      <c r="B6" t="s">
        <v>14</v>
      </c>
      <c r="Q6" t="s">
        <v>231</v>
      </c>
    </row>
    <row r="7" spans="1:24">
      <c r="A7" t="s">
        <v>15</v>
      </c>
      <c r="B7">
        <v>1</v>
      </c>
      <c r="Q7" t="s">
        <v>231</v>
      </c>
    </row>
    <row r="8" spans="1:24">
      <c r="A8" t="s">
        <v>16</v>
      </c>
      <c r="B8" t="s">
        <v>17</v>
      </c>
      <c r="Q8" t="s">
        <v>231</v>
      </c>
    </row>
    <row r="9" spans="1:24">
      <c r="A9" t="s">
        <v>18</v>
      </c>
      <c r="B9" t="s">
        <v>18</v>
      </c>
      <c r="E9" t="s">
        <v>235</v>
      </c>
      <c r="Q9" t="s">
        <v>231</v>
      </c>
    </row>
    <row r="10" spans="1:24">
      <c r="A10" s="131" t="s">
        <v>19</v>
      </c>
      <c r="Q10" t="s">
        <v>231</v>
      </c>
    </row>
    <row r="11" spans="1:24">
      <c r="A11" s="131" t="s">
        <v>20</v>
      </c>
      <c r="B11" s="131" t="s">
        <v>21</v>
      </c>
      <c r="C11" s="131" t="s">
        <v>217</v>
      </c>
      <c r="D11" s="131" t="s">
        <v>18</v>
      </c>
      <c r="E11" s="131" t="s">
        <v>22</v>
      </c>
      <c r="F11" s="131" t="s">
        <v>7</v>
      </c>
      <c r="G11" s="131" t="s">
        <v>13</v>
      </c>
      <c r="H11" s="131" t="s">
        <v>16</v>
      </c>
      <c r="I11" s="131" t="s">
        <v>23</v>
      </c>
      <c r="J11" s="131" t="s">
        <v>24</v>
      </c>
      <c r="K11" s="131" t="s">
        <v>25</v>
      </c>
      <c r="L11" s="131" t="s">
        <v>26</v>
      </c>
      <c r="M11" s="131" t="s">
        <v>27</v>
      </c>
      <c r="N11" s="131" t="s">
        <v>28</v>
      </c>
      <c r="O11" s="131" t="s">
        <v>11</v>
      </c>
      <c r="P11" s="177" t="s">
        <v>236</v>
      </c>
      <c r="Q11" t="s">
        <v>231</v>
      </c>
    </row>
    <row r="12" spans="1:24">
      <c r="A12" t="str">
        <f>B2</f>
        <v>Production of powerplant, PEMFC-bat, long term</v>
      </c>
      <c r="B12">
        <v>1</v>
      </c>
      <c r="D12" t="s">
        <v>18</v>
      </c>
      <c r="E12" t="s">
        <v>2</v>
      </c>
      <c r="F12" t="s">
        <v>29</v>
      </c>
      <c r="G12" t="s">
        <v>14</v>
      </c>
      <c r="H12" t="s">
        <v>30</v>
      </c>
      <c r="I12">
        <v>1</v>
      </c>
      <c r="J12">
        <v>1</v>
      </c>
      <c r="K12" t="s">
        <v>31</v>
      </c>
      <c r="L12" t="s">
        <v>31</v>
      </c>
      <c r="M12" t="s">
        <v>31</v>
      </c>
      <c r="N12" t="s">
        <v>31</v>
      </c>
      <c r="Q12" t="s">
        <v>231</v>
      </c>
    </row>
    <row r="13" spans="1:24">
      <c r="A13" s="74" t="s">
        <v>237</v>
      </c>
      <c r="B13" s="227">
        <v>10</v>
      </c>
      <c r="C13" s="227"/>
      <c r="D13" t="s">
        <v>18</v>
      </c>
      <c r="E13" t="s">
        <v>2</v>
      </c>
      <c r="F13" t="s">
        <v>29</v>
      </c>
      <c r="G13" s="59" t="s">
        <v>59</v>
      </c>
      <c r="H13" t="s">
        <v>33</v>
      </c>
      <c r="I13">
        <v>2</v>
      </c>
      <c r="J13">
        <f t="shared" ref="J13:J35" si="0">LN(ABS(B13))</f>
        <v>2.3025850929940459</v>
      </c>
      <c r="K13" s="228">
        <v>0.4147288270665544</v>
      </c>
      <c r="L13" t="s">
        <v>31</v>
      </c>
      <c r="M13" t="s">
        <v>31</v>
      </c>
      <c r="N13" t="s">
        <v>31</v>
      </c>
      <c r="O13" t="s">
        <v>238</v>
      </c>
      <c r="Q13" t="s">
        <v>231</v>
      </c>
    </row>
    <row r="14" spans="1:24">
      <c r="A14" s="24" t="s">
        <v>239</v>
      </c>
      <c r="B14" s="227">
        <v>10</v>
      </c>
      <c r="C14" s="227"/>
      <c r="D14" t="s">
        <v>18</v>
      </c>
      <c r="E14" t="s">
        <v>2</v>
      </c>
      <c r="F14" t="s">
        <v>29</v>
      </c>
      <c r="G14" s="59" t="s">
        <v>59</v>
      </c>
      <c r="H14" t="s">
        <v>33</v>
      </c>
      <c r="I14">
        <v>2</v>
      </c>
      <c r="J14">
        <f t="shared" si="0"/>
        <v>2.3025850929940459</v>
      </c>
      <c r="K14" s="228">
        <v>0.4147288270665544</v>
      </c>
      <c r="L14" t="s">
        <v>31</v>
      </c>
      <c r="M14" t="s">
        <v>31</v>
      </c>
      <c r="N14" t="s">
        <v>31</v>
      </c>
      <c r="O14" t="s">
        <v>238</v>
      </c>
      <c r="Q14" t="s">
        <v>231</v>
      </c>
    </row>
    <row r="15" spans="1:24">
      <c r="A15" t="s">
        <v>240</v>
      </c>
      <c r="B15" s="227">
        <v>10</v>
      </c>
      <c r="C15" s="227"/>
      <c r="D15" t="s">
        <v>18</v>
      </c>
      <c r="E15" t="s">
        <v>2</v>
      </c>
      <c r="F15" t="s">
        <v>29</v>
      </c>
      <c r="G15" s="59" t="s">
        <v>59</v>
      </c>
      <c r="H15" t="s">
        <v>33</v>
      </c>
      <c r="I15">
        <v>2</v>
      </c>
      <c r="J15">
        <f t="shared" si="0"/>
        <v>2.3025850929940459</v>
      </c>
      <c r="K15" s="228">
        <v>0.4147288270665544</v>
      </c>
      <c r="L15" t="s">
        <v>31</v>
      </c>
      <c r="M15" t="s">
        <v>31</v>
      </c>
      <c r="N15" t="s">
        <v>31</v>
      </c>
      <c r="O15" t="s">
        <v>238</v>
      </c>
      <c r="Q15" t="s">
        <v>231</v>
      </c>
    </row>
    <row r="16" spans="1:24" s="84" customFormat="1">
      <c r="A16" s="205" t="str">
        <f>'1. MOTORS AND DRIVES'!A12</f>
        <v>production of motors and drives, PEMFC-bat, Long-Term</v>
      </c>
      <c r="B16" s="227">
        <v>1</v>
      </c>
      <c r="C16" s="227"/>
      <c r="D16" s="22" t="s">
        <v>18</v>
      </c>
      <c r="E16" s="22" t="s">
        <v>2</v>
      </c>
      <c r="F16" s="22" t="s">
        <v>29</v>
      </c>
      <c r="G16" s="22" t="s">
        <v>14</v>
      </c>
      <c r="H16" t="s">
        <v>33</v>
      </c>
      <c r="I16">
        <v>2</v>
      </c>
      <c r="J16">
        <f>LN(ABS(B16))</f>
        <v>0</v>
      </c>
      <c r="K16" s="228">
        <v>0.4147288270665544</v>
      </c>
      <c r="L16" t="s">
        <v>31</v>
      </c>
      <c r="M16" t="s">
        <v>31</v>
      </c>
      <c r="N16" t="s">
        <v>31</v>
      </c>
      <c r="O16" t="s">
        <v>238</v>
      </c>
      <c r="Q16" s="229">
        <v>679.8</v>
      </c>
      <c r="R16" s="229"/>
      <c r="S16" s="84" t="s">
        <v>241</v>
      </c>
    </row>
    <row r="17" spans="1:24" s="84" customFormat="1">
      <c r="A17" s="205" t="str">
        <f>'2.POWER ELECTRONICS'!A12</f>
        <v>production of power electronics, PEMFC-bat, Long-Term</v>
      </c>
      <c r="B17" s="227">
        <v>1</v>
      </c>
      <c r="C17" s="227"/>
      <c r="D17" s="22" t="s">
        <v>18</v>
      </c>
      <c r="E17" s="22" t="s">
        <v>2</v>
      </c>
      <c r="F17" s="22" t="s">
        <v>29</v>
      </c>
      <c r="G17" s="22" t="s">
        <v>14</v>
      </c>
      <c r="H17" t="s">
        <v>33</v>
      </c>
      <c r="I17">
        <v>2</v>
      </c>
      <c r="J17">
        <f t="shared" si="0"/>
        <v>0</v>
      </c>
      <c r="K17" s="228">
        <v>0.4147288270665544</v>
      </c>
      <c r="L17" t="s">
        <v>31</v>
      </c>
      <c r="M17" t="s">
        <v>31</v>
      </c>
      <c r="N17" t="s">
        <v>31</v>
      </c>
      <c r="O17" t="s">
        <v>238</v>
      </c>
      <c r="Q17" s="229">
        <v>262.95302982349443</v>
      </c>
      <c r="R17" s="229"/>
      <c r="S17" s="84" t="s">
        <v>241</v>
      </c>
    </row>
    <row r="18" spans="1:24" s="84" customFormat="1">
      <c r="A18" s="205" t="str">
        <f>'production of battery Li-S'!A261</f>
        <v>battery pack production, Li-O, PEMFC-bat</v>
      </c>
      <c r="B18" s="227">
        <f>1*20/3</f>
        <v>6.666666666666667</v>
      </c>
      <c r="C18" s="227"/>
      <c r="D18" s="22" t="s">
        <v>18</v>
      </c>
      <c r="E18" t="s">
        <v>2</v>
      </c>
      <c r="F18" t="s">
        <v>29</v>
      </c>
      <c r="G18" s="59" t="s">
        <v>59</v>
      </c>
      <c r="H18" t="s">
        <v>33</v>
      </c>
      <c r="I18">
        <v>2</v>
      </c>
      <c r="J18">
        <f>LN(ABS(B18))</f>
        <v>1.8971199848858813</v>
      </c>
      <c r="K18" s="228">
        <v>0.4147288270665544</v>
      </c>
      <c r="L18" t="s">
        <v>31</v>
      </c>
      <c r="M18" t="s">
        <v>31</v>
      </c>
      <c r="N18" t="s">
        <v>31</v>
      </c>
      <c r="O18" t="s">
        <v>238</v>
      </c>
      <c r="Q18" s="229">
        <v>2362.4510462360345</v>
      </c>
      <c r="R18" s="229"/>
      <c r="S18" s="84" t="s">
        <v>241</v>
      </c>
      <c r="T18" s="84" t="s">
        <v>242</v>
      </c>
    </row>
    <row r="19" spans="1:24">
      <c r="A19" s="22" t="str">
        <f>'battery EoL Li-ion'!A121</f>
        <v>treatment of battery LiO, PEMFC-bat</v>
      </c>
      <c r="B19" s="22">
        <f>B18</f>
        <v>6.666666666666667</v>
      </c>
      <c r="C19" s="22"/>
      <c r="D19" s="22" t="s">
        <v>18</v>
      </c>
      <c r="E19" t="s">
        <v>2</v>
      </c>
      <c r="F19" t="s">
        <v>29</v>
      </c>
      <c r="G19" s="59" t="s">
        <v>59</v>
      </c>
      <c r="H19" t="s">
        <v>33</v>
      </c>
      <c r="I19">
        <v>2</v>
      </c>
      <c r="J19">
        <f>LN(ABS(B19))</f>
        <v>1.8971199848858813</v>
      </c>
      <c r="K19" s="228">
        <v>0.4147288270665544</v>
      </c>
      <c r="L19" t="s">
        <v>31</v>
      </c>
      <c r="M19" t="s">
        <v>31</v>
      </c>
      <c r="N19" t="s">
        <v>31</v>
      </c>
    </row>
    <row r="20" spans="1:24" s="59" customFormat="1">
      <c r="A20" s="230" t="s">
        <v>243</v>
      </c>
      <c r="B20" s="227">
        <v>76.566397533332264</v>
      </c>
      <c r="C20" s="227"/>
      <c r="D20" s="22" t="s">
        <v>37</v>
      </c>
      <c r="E20" s="59" t="s">
        <v>2</v>
      </c>
      <c r="F20" s="59" t="s">
        <v>29</v>
      </c>
      <c r="G20" s="59" t="s">
        <v>59</v>
      </c>
      <c r="H20" s="59" t="s">
        <v>33</v>
      </c>
      <c r="I20" s="59">
        <v>2</v>
      </c>
      <c r="J20" s="59">
        <f t="shared" si="0"/>
        <v>4.3381583060011604</v>
      </c>
      <c r="K20" s="59">
        <v>0.4147288270665544</v>
      </c>
      <c r="L20" s="59" t="s">
        <v>31</v>
      </c>
      <c r="M20" s="59" t="s">
        <v>31</v>
      </c>
      <c r="N20" s="59" t="s">
        <v>31</v>
      </c>
      <c r="O20" s="59" t="s">
        <v>238</v>
      </c>
      <c r="S20" s="77"/>
    </row>
    <row r="21" spans="1:24" s="84" customFormat="1">
      <c r="A21" s="205" t="str">
        <f>H2_storage!B2</f>
        <v>production of cryogenic insulated LH2 storage system</v>
      </c>
      <c r="B21" s="231">
        <v>4</v>
      </c>
      <c r="C21" s="229"/>
      <c r="D21" s="22" t="s">
        <v>18</v>
      </c>
      <c r="E21" t="s">
        <v>2</v>
      </c>
      <c r="F21" t="s">
        <v>29</v>
      </c>
      <c r="G21" s="59" t="s">
        <v>14</v>
      </c>
      <c r="H21" t="s">
        <v>33</v>
      </c>
      <c r="I21">
        <v>2</v>
      </c>
      <c r="J21">
        <f t="shared" si="0"/>
        <v>1.3862943611198906</v>
      </c>
      <c r="K21" s="228">
        <v>0.4147288270665544</v>
      </c>
      <c r="L21" t="s">
        <v>31</v>
      </c>
      <c r="M21" t="s">
        <v>31</v>
      </c>
      <c r="N21" t="s">
        <v>31</v>
      </c>
      <c r="O21" t="s">
        <v>238</v>
      </c>
      <c r="Q21" s="232" t="s">
        <v>244</v>
      </c>
      <c r="R21" s="229">
        <v>529.27360535573905</v>
      </c>
      <c r="S21" s="233"/>
    </row>
    <row r="22" spans="1:24" s="84" customFormat="1">
      <c r="A22" s="205" t="str">
        <f>PEMFC!A12</f>
        <v>production of PEMFC fuel cell plant unit, Long-Term, PEMFC-bat</v>
      </c>
      <c r="B22" s="227">
        <v>2</v>
      </c>
      <c r="C22" s="227"/>
      <c r="D22" s="22" t="s">
        <v>18</v>
      </c>
      <c r="E22" t="s">
        <v>2</v>
      </c>
      <c r="F22" t="s">
        <v>29</v>
      </c>
      <c r="G22" s="59" t="s">
        <v>14</v>
      </c>
      <c r="H22" t="s">
        <v>33</v>
      </c>
      <c r="I22">
        <v>2</v>
      </c>
      <c r="J22">
        <f t="shared" si="0"/>
        <v>0.69314718055994529</v>
      </c>
      <c r="K22" s="228">
        <v>0.4147288270665544</v>
      </c>
      <c r="L22" t="s">
        <v>31</v>
      </c>
      <c r="M22" t="s">
        <v>31</v>
      </c>
      <c r="N22" t="s">
        <v>31</v>
      </c>
      <c r="O22" t="s">
        <v>238</v>
      </c>
      <c r="Q22" s="232" t="s">
        <v>245</v>
      </c>
      <c r="R22" s="229">
        <v>1162.1917808219177</v>
      </c>
      <c r="S22" s="233" t="s">
        <v>246</v>
      </c>
    </row>
    <row r="23" spans="1:24">
      <c r="A23" s="59" t="s">
        <v>247</v>
      </c>
      <c r="B23" s="234">
        <f>S23</f>
        <v>274960.40413660795</v>
      </c>
      <c r="C23" s="235"/>
      <c r="D23" t="s">
        <v>39</v>
      </c>
      <c r="E23" t="s">
        <v>40</v>
      </c>
      <c r="F23" t="s">
        <v>29</v>
      </c>
      <c r="G23" t="s">
        <v>59</v>
      </c>
      <c r="H23" t="s">
        <v>33</v>
      </c>
      <c r="I23">
        <v>2</v>
      </c>
      <c r="J23">
        <f t="shared" si="0"/>
        <v>12.52438238132409</v>
      </c>
      <c r="K23">
        <v>0.28635642126552707</v>
      </c>
      <c r="L23" t="s">
        <v>31</v>
      </c>
      <c r="M23" t="s">
        <v>31</v>
      </c>
      <c r="N23" t="s">
        <v>31</v>
      </c>
      <c r="Q23" t="s">
        <v>231</v>
      </c>
      <c r="S23" s="22">
        <v>274960.40413660795</v>
      </c>
      <c r="T23" s="22" t="s">
        <v>248</v>
      </c>
    </row>
    <row r="24" spans="1:24">
      <c r="A24" s="22" t="s">
        <v>69</v>
      </c>
      <c r="B24" s="236">
        <f>W24</f>
        <v>25988.517874772675</v>
      </c>
      <c r="C24" s="227"/>
      <c r="D24" s="22" t="s">
        <v>42</v>
      </c>
      <c r="E24" s="22" t="s">
        <v>40</v>
      </c>
      <c r="F24" s="22" t="s">
        <v>29</v>
      </c>
      <c r="G24" s="22" t="s">
        <v>249</v>
      </c>
      <c r="H24" s="22" t="s">
        <v>33</v>
      </c>
      <c r="I24">
        <v>2</v>
      </c>
      <c r="J24">
        <f t="shared" si="0"/>
        <v>10.165410099259649</v>
      </c>
      <c r="K24">
        <v>0.28635642126552707</v>
      </c>
      <c r="L24" t="s">
        <v>31</v>
      </c>
      <c r="M24" t="s">
        <v>31</v>
      </c>
      <c r="N24" t="s">
        <v>31</v>
      </c>
      <c r="Q24" t="s">
        <v>231</v>
      </c>
      <c r="R24" s="22"/>
      <c r="S24" s="227">
        <v>276489.17524777254</v>
      </c>
      <c r="T24" s="22" t="s">
        <v>248</v>
      </c>
      <c r="U24" s="22">
        <f>S24/0.277778</f>
        <v>995360.23460379336</v>
      </c>
      <c r="V24" s="22" t="s">
        <v>250</v>
      </c>
      <c r="W24" s="22">
        <f>U24/38.3</f>
        <v>25988.517874772675</v>
      </c>
      <c r="X24" s="22" t="s">
        <v>251</v>
      </c>
    </row>
    <row r="25" spans="1:24">
      <c r="A25" s="59" t="s">
        <v>70</v>
      </c>
      <c r="B25" s="237">
        <f>U25</f>
        <v>124223.47319699793</v>
      </c>
      <c r="C25" s="227"/>
      <c r="D25" s="22" t="s">
        <v>71</v>
      </c>
      <c r="E25" s="22" t="s">
        <v>40</v>
      </c>
      <c r="F25" s="22" t="s">
        <v>29</v>
      </c>
      <c r="G25" s="22" t="s">
        <v>59</v>
      </c>
      <c r="H25" s="22" t="s">
        <v>33</v>
      </c>
      <c r="I25">
        <v>2</v>
      </c>
      <c r="J25">
        <f t="shared" si="0"/>
        <v>11.729837425769094</v>
      </c>
      <c r="K25">
        <v>0.28635642126552707</v>
      </c>
      <c r="L25" t="s">
        <v>31</v>
      </c>
      <c r="M25" t="s">
        <v>31</v>
      </c>
      <c r="N25" t="s">
        <v>31</v>
      </c>
      <c r="Q25" t="s">
        <v>231</v>
      </c>
      <c r="R25" s="59"/>
      <c r="S25" s="227">
        <v>34506.547937715695</v>
      </c>
      <c r="T25" s="22" t="s">
        <v>248</v>
      </c>
      <c r="U25" s="22">
        <f>S25/0.277778</f>
        <v>124223.47319699793</v>
      </c>
      <c r="V25" s="22" t="s">
        <v>250</v>
      </c>
    </row>
    <row r="26" spans="1:24">
      <c r="A26" s="59" t="s">
        <v>252</v>
      </c>
      <c r="B26" s="236">
        <f>W26</f>
        <v>5879.134199959638</v>
      </c>
      <c r="C26" s="227"/>
      <c r="D26" s="22" t="s">
        <v>37</v>
      </c>
      <c r="E26" s="22" t="s">
        <v>40</v>
      </c>
      <c r="F26" s="22" t="s">
        <v>29</v>
      </c>
      <c r="G26" s="22" t="s">
        <v>59</v>
      </c>
      <c r="H26" s="22" t="s">
        <v>33</v>
      </c>
      <c r="I26">
        <v>2</v>
      </c>
      <c r="J26">
        <f t="shared" si="0"/>
        <v>8.6791647851462539</v>
      </c>
      <c r="K26">
        <v>0.28635642126552707</v>
      </c>
      <c r="L26" t="s">
        <v>31</v>
      </c>
      <c r="M26" t="s">
        <v>31</v>
      </c>
      <c r="N26" t="s">
        <v>31</v>
      </c>
      <c r="Q26" t="s">
        <v>231</v>
      </c>
      <c r="R26" s="59"/>
      <c r="S26" s="227">
        <v>73162.617462878203</v>
      </c>
      <c r="T26" s="22" t="s">
        <v>248</v>
      </c>
      <c r="U26" s="22">
        <f>S26/0.277778</f>
        <v>263385.21215819177</v>
      </c>
      <c r="V26" s="22" t="s">
        <v>250</v>
      </c>
      <c r="W26" s="22">
        <f>U26/44.8</f>
        <v>5879.134199959638</v>
      </c>
      <c r="X26" s="22" t="s">
        <v>241</v>
      </c>
    </row>
    <row r="27" spans="1:24">
      <c r="A27" s="59" t="s">
        <v>73</v>
      </c>
      <c r="B27" s="236">
        <f t="shared" ref="B27" si="1">W27</f>
        <v>11606.171395741216</v>
      </c>
      <c r="C27" s="227"/>
      <c r="D27" s="22" t="s">
        <v>37</v>
      </c>
      <c r="E27" s="22" t="s">
        <v>40</v>
      </c>
      <c r="F27" s="22" t="s">
        <v>29</v>
      </c>
      <c r="G27" s="22" t="s">
        <v>82</v>
      </c>
      <c r="H27" s="22" t="s">
        <v>33</v>
      </c>
      <c r="I27">
        <v>2</v>
      </c>
      <c r="J27">
        <f t="shared" si="0"/>
        <v>9.3592922524978963</v>
      </c>
      <c r="K27">
        <v>0.28635642126552707</v>
      </c>
      <c r="L27" t="s">
        <v>31</v>
      </c>
      <c r="M27" t="s">
        <v>31</v>
      </c>
      <c r="N27" t="s">
        <v>31</v>
      </c>
      <c r="Q27" t="s">
        <v>231</v>
      </c>
      <c r="R27" s="59"/>
      <c r="S27" s="227">
        <v>148945.98540203861</v>
      </c>
      <c r="T27" s="22" t="s">
        <v>248</v>
      </c>
      <c r="U27" s="22">
        <f>S27/0.277778</f>
        <v>536205.11848324421</v>
      </c>
      <c r="V27" s="22" t="s">
        <v>250</v>
      </c>
      <c r="W27" s="22">
        <f>U27/46.2</f>
        <v>11606.171395741216</v>
      </c>
      <c r="X27" s="22" t="s">
        <v>241</v>
      </c>
    </row>
    <row r="28" spans="1:24" s="84" customFormat="1">
      <c r="A28" s="197" t="s">
        <v>213</v>
      </c>
      <c r="B28" s="236">
        <f>W28</f>
        <v>71.474955809550025</v>
      </c>
      <c r="C28" s="227"/>
      <c r="D28" s="22" t="s">
        <v>37</v>
      </c>
      <c r="E28" s="22" t="s">
        <v>2</v>
      </c>
      <c r="F28" s="22" t="s">
        <v>214</v>
      </c>
      <c r="G28" s="22" t="s">
        <v>59</v>
      </c>
      <c r="H28" s="22" t="s">
        <v>33</v>
      </c>
      <c r="I28" s="22">
        <v>2</v>
      </c>
      <c r="J28" s="22">
        <f t="shared" si="0"/>
        <v>4.2693471199437569</v>
      </c>
      <c r="K28">
        <v>0.28635642126552707</v>
      </c>
      <c r="L28" s="22" t="s">
        <v>31</v>
      </c>
      <c r="M28" s="22" t="s">
        <v>31</v>
      </c>
      <c r="N28" s="22" t="s">
        <v>31</v>
      </c>
      <c r="O28" s="205"/>
      <c r="P28" s="22"/>
      <c r="Q28" t="s">
        <v>231</v>
      </c>
      <c r="R28" s="232"/>
      <c r="S28" s="227">
        <v>873.58349209406822</v>
      </c>
      <c r="T28" s="22" t="s">
        <v>248</v>
      </c>
      <c r="U28" s="22">
        <f>S28/0.277778</f>
        <v>3144.8980556202009</v>
      </c>
      <c r="V28" s="22" t="s">
        <v>250</v>
      </c>
      <c r="W28" s="22">
        <f>U28/44</f>
        <v>71.474955809550025</v>
      </c>
      <c r="X28" s="22" t="s">
        <v>241</v>
      </c>
    </row>
    <row r="29" spans="1:24">
      <c r="A29" t="s">
        <v>75</v>
      </c>
      <c r="B29" s="238">
        <f>672.351350731469*997.42788</f>
        <v>670621.98237522552</v>
      </c>
      <c r="C29" s="205"/>
      <c r="D29" t="s">
        <v>37</v>
      </c>
      <c r="E29" t="s">
        <v>40</v>
      </c>
      <c r="F29" t="s">
        <v>29</v>
      </c>
      <c r="G29" t="s">
        <v>59</v>
      </c>
      <c r="H29" t="s">
        <v>33</v>
      </c>
      <c r="I29">
        <v>2</v>
      </c>
      <c r="J29">
        <f t="shared" si="0"/>
        <v>13.415960892636903</v>
      </c>
      <c r="K29">
        <v>0.28635642126552707</v>
      </c>
      <c r="L29" t="s">
        <v>31</v>
      </c>
      <c r="M29" t="s">
        <v>31</v>
      </c>
      <c r="N29" t="s">
        <v>31</v>
      </c>
      <c r="O29" t="s">
        <v>253</v>
      </c>
      <c r="Q29" t="s">
        <v>231</v>
      </c>
    </row>
    <row r="30" spans="1:24">
      <c r="A30" s="204" t="s">
        <v>76</v>
      </c>
      <c r="B30" s="236">
        <v>626.95951569051556</v>
      </c>
      <c r="C30" s="227"/>
      <c r="D30" s="22" t="s">
        <v>42</v>
      </c>
      <c r="E30" s="22" t="s">
        <v>40</v>
      </c>
      <c r="F30" s="22" t="s">
        <v>29</v>
      </c>
      <c r="G30" s="204" t="s">
        <v>82</v>
      </c>
      <c r="H30" s="22" t="s">
        <v>33</v>
      </c>
      <c r="I30">
        <v>2</v>
      </c>
      <c r="J30">
        <f t="shared" si="0"/>
        <v>6.4408819702716098</v>
      </c>
      <c r="K30">
        <v>0.28635642126552707</v>
      </c>
      <c r="L30" t="s">
        <v>31</v>
      </c>
      <c r="M30" t="s">
        <v>31</v>
      </c>
      <c r="N30" t="s">
        <v>31</v>
      </c>
      <c r="Q30" t="s">
        <v>231</v>
      </c>
    </row>
    <row r="31" spans="1:24">
      <c r="A31" s="22" t="s">
        <v>81</v>
      </c>
      <c r="B31" s="236">
        <v>15213.456514818197</v>
      </c>
      <c r="C31" s="227"/>
      <c r="D31" s="22" t="s">
        <v>37</v>
      </c>
      <c r="E31" s="22" t="s">
        <v>40</v>
      </c>
      <c r="F31" s="22" t="s">
        <v>29</v>
      </c>
      <c r="G31" s="22" t="s">
        <v>82</v>
      </c>
      <c r="H31" s="22" t="s">
        <v>33</v>
      </c>
      <c r="I31">
        <v>2</v>
      </c>
      <c r="J31">
        <f t="shared" si="0"/>
        <v>9.6299356122175972</v>
      </c>
      <c r="K31">
        <v>0.28635642126552707</v>
      </c>
      <c r="L31" t="s">
        <v>31</v>
      </c>
      <c r="M31" t="s">
        <v>31</v>
      </c>
      <c r="N31" t="s">
        <v>31</v>
      </c>
      <c r="O31" s="239" t="s">
        <v>254</v>
      </c>
      <c r="Q31" t="s">
        <v>231</v>
      </c>
    </row>
    <row r="32" spans="1:24" ht="15.75" customHeight="1">
      <c r="A32" t="s">
        <v>77</v>
      </c>
      <c r="B32" s="234">
        <v>285821.01250619441</v>
      </c>
      <c r="C32" s="235"/>
      <c r="D32" t="s">
        <v>37</v>
      </c>
      <c r="E32" t="s">
        <v>43</v>
      </c>
      <c r="F32" t="s">
        <v>44</v>
      </c>
      <c r="G32" t="s">
        <v>29</v>
      </c>
      <c r="H32" t="s">
        <v>45</v>
      </c>
      <c r="I32">
        <v>2</v>
      </c>
      <c r="J32">
        <f t="shared" si="0"/>
        <v>12.563121063490481</v>
      </c>
      <c r="K32">
        <v>0.28635642126552707</v>
      </c>
      <c r="L32" t="s">
        <v>31</v>
      </c>
      <c r="M32" t="s">
        <v>31</v>
      </c>
      <c r="N32" t="s">
        <v>31</v>
      </c>
      <c r="Q32" t="s">
        <v>231</v>
      </c>
    </row>
    <row r="33" spans="1:24">
      <c r="A33" t="s">
        <v>79</v>
      </c>
      <c r="B33" s="234">
        <v>3.0575422223292383</v>
      </c>
      <c r="C33" s="235"/>
      <c r="D33" t="s">
        <v>37</v>
      </c>
      <c r="E33" t="s">
        <v>43</v>
      </c>
      <c r="F33" t="s">
        <v>44</v>
      </c>
      <c r="G33" t="s">
        <v>29</v>
      </c>
      <c r="H33" t="s">
        <v>45</v>
      </c>
      <c r="I33">
        <v>2</v>
      </c>
      <c r="J33">
        <f t="shared" si="0"/>
        <v>1.1176113979128643</v>
      </c>
      <c r="K33">
        <v>0.28635642126552707</v>
      </c>
      <c r="L33" t="s">
        <v>31</v>
      </c>
      <c r="M33" t="s">
        <v>31</v>
      </c>
      <c r="N33" t="s">
        <v>31</v>
      </c>
      <c r="Q33" t="s">
        <v>231</v>
      </c>
    </row>
    <row r="34" spans="1:24">
      <c r="A34" t="s">
        <v>80</v>
      </c>
      <c r="B34" s="240">
        <v>48.483883811220778</v>
      </c>
      <c r="D34" t="s">
        <v>37</v>
      </c>
      <c r="E34" t="s">
        <v>43</v>
      </c>
      <c r="F34" t="s">
        <v>44</v>
      </c>
      <c r="G34" t="s">
        <v>29</v>
      </c>
      <c r="H34" t="s">
        <v>45</v>
      </c>
      <c r="I34">
        <v>2</v>
      </c>
      <c r="J34">
        <f t="shared" si="0"/>
        <v>3.881231450169885</v>
      </c>
      <c r="K34">
        <v>0.28635642126552707</v>
      </c>
      <c r="L34" t="s">
        <v>31</v>
      </c>
      <c r="M34" t="s">
        <v>31</v>
      </c>
      <c r="N34" t="s">
        <v>31</v>
      </c>
      <c r="Q34" t="s">
        <v>231</v>
      </c>
    </row>
    <row r="35" spans="1:24">
      <c r="A35" t="s">
        <v>78</v>
      </c>
      <c r="B35" s="240">
        <v>229.53406254771639</v>
      </c>
      <c r="D35" t="s">
        <v>37</v>
      </c>
      <c r="E35" t="s">
        <v>43</v>
      </c>
      <c r="F35" t="s">
        <v>44</v>
      </c>
      <c r="G35" t="s">
        <v>29</v>
      </c>
      <c r="H35" t="s">
        <v>45</v>
      </c>
      <c r="I35">
        <v>2</v>
      </c>
      <c r="J35">
        <f t="shared" si="0"/>
        <v>5.4360514391745571</v>
      </c>
      <c r="K35">
        <v>0.28635642126552707</v>
      </c>
      <c r="L35" t="s">
        <v>31</v>
      </c>
      <c r="M35" t="s">
        <v>31</v>
      </c>
      <c r="N35" t="s">
        <v>31</v>
      </c>
      <c r="Q35" t="s">
        <v>231</v>
      </c>
    </row>
    <row r="36" spans="1:24" s="70" customFormat="1">
      <c r="A36" s="224" t="s">
        <v>5</v>
      </c>
      <c r="B36" s="224" t="s">
        <v>237</v>
      </c>
      <c r="C36" s="224"/>
      <c r="D36" s="69"/>
      <c r="Q36" s="70" t="s">
        <v>231</v>
      </c>
      <c r="S36" s="225"/>
      <c r="T36" s="225"/>
      <c r="U36" s="225"/>
      <c r="V36" s="225"/>
      <c r="W36" s="225"/>
      <c r="X36" s="225"/>
    </row>
    <row r="37" spans="1:24">
      <c r="A37" t="s">
        <v>7</v>
      </c>
      <c r="B37" t="s">
        <v>232</v>
      </c>
      <c r="Q37" t="s">
        <v>231</v>
      </c>
    </row>
    <row r="38" spans="1:24">
      <c r="A38" t="s">
        <v>9</v>
      </c>
      <c r="B38" s="226" t="s">
        <v>255</v>
      </c>
      <c r="C38" s="22"/>
      <c r="Q38" t="s">
        <v>231</v>
      </c>
    </row>
    <row r="39" spans="1:24">
      <c r="A39" t="s">
        <v>11</v>
      </c>
      <c r="B39" t="s">
        <v>256</v>
      </c>
      <c r="Q39" t="s">
        <v>231</v>
      </c>
    </row>
    <row r="40" spans="1:24">
      <c r="A40" t="s">
        <v>13</v>
      </c>
      <c r="B40" t="s">
        <v>59</v>
      </c>
      <c r="Q40" t="s">
        <v>231</v>
      </c>
    </row>
    <row r="41" spans="1:24">
      <c r="A41" t="s">
        <v>15</v>
      </c>
      <c r="B41">
        <v>1</v>
      </c>
      <c r="Q41" t="s">
        <v>231</v>
      </c>
    </row>
    <row r="42" spans="1:24">
      <c r="A42" t="s">
        <v>16</v>
      </c>
      <c r="B42" t="s">
        <v>17</v>
      </c>
      <c r="Q42" t="s">
        <v>231</v>
      </c>
    </row>
    <row r="43" spans="1:24">
      <c r="A43" t="s">
        <v>18</v>
      </c>
      <c r="B43" t="s">
        <v>18</v>
      </c>
      <c r="E43" t="s">
        <v>235</v>
      </c>
      <c r="Q43" t="s">
        <v>231</v>
      </c>
    </row>
    <row r="44" spans="1:24">
      <c r="A44" s="131" t="s">
        <v>19</v>
      </c>
      <c r="Q44" t="s">
        <v>231</v>
      </c>
    </row>
    <row r="45" spans="1:24">
      <c r="A45" s="131" t="s">
        <v>20</v>
      </c>
      <c r="B45" s="131" t="s">
        <v>21</v>
      </c>
      <c r="C45" s="131" t="s">
        <v>217</v>
      </c>
      <c r="D45" s="131" t="s">
        <v>18</v>
      </c>
      <c r="E45" s="131" t="s">
        <v>22</v>
      </c>
      <c r="F45" s="131" t="s">
        <v>7</v>
      </c>
      <c r="G45" s="131" t="s">
        <v>13</v>
      </c>
      <c r="H45" s="131" t="s">
        <v>16</v>
      </c>
      <c r="I45" s="131" t="s">
        <v>23</v>
      </c>
      <c r="J45" s="131" t="s">
        <v>24</v>
      </c>
      <c r="K45" s="131" t="s">
        <v>25</v>
      </c>
      <c r="L45" s="131" t="s">
        <v>26</v>
      </c>
      <c r="M45" s="131" t="s">
        <v>27</v>
      </c>
      <c r="N45" s="131" t="s">
        <v>28</v>
      </c>
      <c r="O45" s="131" t="s">
        <v>11</v>
      </c>
      <c r="P45" s="177" t="s">
        <v>236</v>
      </c>
      <c r="Q45" t="s">
        <v>231</v>
      </c>
    </row>
    <row r="46" spans="1:24">
      <c r="A46" t="str">
        <f>B36</f>
        <v>Production of Gearbox, EM</v>
      </c>
      <c r="B46">
        <v>1</v>
      </c>
      <c r="D46" t="s">
        <v>18</v>
      </c>
      <c r="E46" t="s">
        <v>2</v>
      </c>
      <c r="F46" t="s">
        <v>29</v>
      </c>
      <c r="G46" s="223" t="s">
        <v>59</v>
      </c>
      <c r="H46" t="s">
        <v>30</v>
      </c>
      <c r="I46">
        <v>1</v>
      </c>
      <c r="J46">
        <v>1</v>
      </c>
      <c r="K46" t="s">
        <v>31</v>
      </c>
      <c r="L46" t="s">
        <v>31</v>
      </c>
      <c r="M46" t="s">
        <v>31</v>
      </c>
      <c r="N46" t="s">
        <v>31</v>
      </c>
      <c r="P46" s="22"/>
      <c r="Q46" t="s">
        <v>231</v>
      </c>
    </row>
    <row r="47" spans="1:24">
      <c r="A47" s="241" t="s">
        <v>134</v>
      </c>
      <c r="B47" s="223">
        <f>23.33865*8</f>
        <v>186.70920000000001</v>
      </c>
      <c r="C47" s="223"/>
      <c r="D47" s="223" t="s">
        <v>37</v>
      </c>
      <c r="E47" s="223" t="s">
        <v>40</v>
      </c>
      <c r="F47" s="223" t="s">
        <v>29</v>
      </c>
      <c r="G47" s="223" t="s">
        <v>59</v>
      </c>
      <c r="H47" s="223" t="s">
        <v>33</v>
      </c>
      <c r="I47" s="223">
        <v>2</v>
      </c>
      <c r="J47" s="223">
        <f t="shared" ref="J47:J66" si="2">LN(B47)</f>
        <v>5.229552326248446</v>
      </c>
      <c r="K47" s="223">
        <v>0.30331501776206199</v>
      </c>
      <c r="L47" s="223" t="s">
        <v>31</v>
      </c>
      <c r="M47" s="223" t="s">
        <v>31</v>
      </c>
      <c r="N47" s="223" t="s">
        <v>31</v>
      </c>
      <c r="O47" s="223" t="s">
        <v>257</v>
      </c>
      <c r="P47" s="22" t="s">
        <v>258</v>
      </c>
      <c r="Q47" t="s">
        <v>231</v>
      </c>
    </row>
    <row r="48" spans="1:24">
      <c r="A48" s="241" t="s">
        <v>85</v>
      </c>
      <c r="B48" s="223">
        <f>7.77955*1.2</f>
        <v>9.3354599999999994</v>
      </c>
      <c r="C48" s="223"/>
      <c r="D48" s="223" t="s">
        <v>37</v>
      </c>
      <c r="E48" s="223" t="s">
        <v>40</v>
      </c>
      <c r="F48" s="223" t="s">
        <v>29</v>
      </c>
      <c r="G48" s="223" t="s">
        <v>59</v>
      </c>
      <c r="H48" s="223" t="s">
        <v>33</v>
      </c>
      <c r="I48" s="223">
        <v>2</v>
      </c>
      <c r="J48" s="223">
        <f t="shared" si="2"/>
        <v>2.2338200526944552</v>
      </c>
      <c r="K48" s="223">
        <v>0.30331501776206199</v>
      </c>
      <c r="L48" s="223" t="s">
        <v>31</v>
      </c>
      <c r="M48" s="223" t="s">
        <v>31</v>
      </c>
      <c r="N48" s="223" t="s">
        <v>31</v>
      </c>
      <c r="O48" s="223" t="s">
        <v>257</v>
      </c>
      <c r="P48" s="22" t="s">
        <v>259</v>
      </c>
      <c r="Q48" t="s">
        <v>231</v>
      </c>
    </row>
    <row r="49" spans="1:24">
      <c r="A49" s="242" t="s">
        <v>135</v>
      </c>
      <c r="B49" s="243">
        <f>B47*(1-1/8)</f>
        <v>163.37055000000001</v>
      </c>
      <c r="C49" s="243"/>
      <c r="D49" s="243" t="s">
        <v>37</v>
      </c>
      <c r="E49" s="243" t="s">
        <v>40</v>
      </c>
      <c r="F49" s="243" t="s">
        <v>29</v>
      </c>
      <c r="G49" s="243" t="s">
        <v>82</v>
      </c>
      <c r="H49" s="243" t="s">
        <v>33</v>
      </c>
      <c r="I49" s="243">
        <v>2</v>
      </c>
      <c r="J49" s="243">
        <f t="shared" si="2"/>
        <v>5.0960209336239233</v>
      </c>
      <c r="K49" s="243">
        <v>0.30331501776206199</v>
      </c>
      <c r="L49" s="243" t="s">
        <v>31</v>
      </c>
      <c r="M49" s="243" t="s">
        <v>31</v>
      </c>
      <c r="N49" s="243" t="s">
        <v>31</v>
      </c>
      <c r="O49" s="243" t="s">
        <v>260</v>
      </c>
      <c r="P49" s="244" t="s">
        <v>261</v>
      </c>
      <c r="Q49" t="s">
        <v>231</v>
      </c>
    </row>
    <row r="50" spans="1:24">
      <c r="A50" s="245" t="s">
        <v>134</v>
      </c>
      <c r="B50" s="246">
        <f>B47*(1-1/8)</f>
        <v>163.37055000000001</v>
      </c>
      <c r="C50" s="246"/>
      <c r="D50" s="246" t="s">
        <v>37</v>
      </c>
      <c r="E50" s="246" t="s">
        <v>40</v>
      </c>
      <c r="F50" s="246" t="s">
        <v>29</v>
      </c>
      <c r="G50" s="246" t="s">
        <v>59</v>
      </c>
      <c r="H50" s="246" t="s">
        <v>136</v>
      </c>
      <c r="I50" s="246">
        <v>2</v>
      </c>
      <c r="J50" s="246">
        <f t="shared" si="2"/>
        <v>5.0960209336239233</v>
      </c>
      <c r="K50" s="246">
        <v>0.30331501776206199</v>
      </c>
      <c r="L50" s="246" t="s">
        <v>31</v>
      </c>
      <c r="M50" s="246" t="s">
        <v>31</v>
      </c>
      <c r="N50" s="246" t="s">
        <v>31</v>
      </c>
      <c r="O50" s="246" t="s">
        <v>260</v>
      </c>
      <c r="P50" s="247" t="s">
        <v>262</v>
      </c>
      <c r="Q50" t="s">
        <v>231</v>
      </c>
    </row>
    <row r="51" spans="1:24">
      <c r="A51" s="242" t="s">
        <v>263</v>
      </c>
      <c r="B51" s="243">
        <f>B48*(1-1/1.2)</f>
        <v>1.5559099999999995</v>
      </c>
      <c r="C51" s="243"/>
      <c r="D51" s="243" t="s">
        <v>37</v>
      </c>
      <c r="E51" s="243" t="s">
        <v>40</v>
      </c>
      <c r="F51" s="243" t="s">
        <v>29</v>
      </c>
      <c r="G51" s="243" t="s">
        <v>82</v>
      </c>
      <c r="H51" s="243" t="s">
        <v>33</v>
      </c>
      <c r="I51" s="243">
        <v>2</v>
      </c>
      <c r="J51" s="243">
        <f t="shared" si="2"/>
        <v>0.44206058346639993</v>
      </c>
      <c r="K51" s="243">
        <v>0.30331501776206199</v>
      </c>
      <c r="L51" s="243" t="s">
        <v>31</v>
      </c>
      <c r="M51" s="243" t="s">
        <v>31</v>
      </c>
      <c r="N51" s="243" t="s">
        <v>31</v>
      </c>
      <c r="O51" s="243" t="s">
        <v>260</v>
      </c>
      <c r="P51" s="244" t="s">
        <v>264</v>
      </c>
      <c r="Q51" t="s">
        <v>231</v>
      </c>
    </row>
    <row r="52" spans="1:24">
      <c r="A52" s="248" t="s">
        <v>265</v>
      </c>
      <c r="B52" s="222">
        <f>B48*(1-1/1.2)</f>
        <v>1.5559099999999995</v>
      </c>
      <c r="C52" s="59" t="s">
        <v>266</v>
      </c>
      <c r="D52" s="222" t="s">
        <v>37</v>
      </c>
      <c r="E52" s="222" t="s">
        <v>40</v>
      </c>
      <c r="F52" s="222" t="s">
        <v>29</v>
      </c>
      <c r="G52" s="222" t="s">
        <v>82</v>
      </c>
      <c r="H52" s="222" t="s">
        <v>33</v>
      </c>
      <c r="I52" s="222">
        <v>2</v>
      </c>
      <c r="J52" s="222">
        <f t="shared" si="2"/>
        <v>0.44206058346639993</v>
      </c>
      <c r="K52" s="222">
        <v>0.30331501776206199</v>
      </c>
      <c r="L52" s="222" t="s">
        <v>31</v>
      </c>
      <c r="M52" s="222" t="s">
        <v>31</v>
      </c>
      <c r="N52" s="222" t="s">
        <v>31</v>
      </c>
      <c r="O52" s="222" t="s">
        <v>260</v>
      </c>
      <c r="P52" s="249" t="s">
        <v>264</v>
      </c>
      <c r="Q52" t="s">
        <v>231</v>
      </c>
    </row>
    <row r="53" spans="1:24">
      <c r="A53" s="245" t="s">
        <v>85</v>
      </c>
      <c r="B53" s="246">
        <f>B48*(1-1/1.2)</f>
        <v>1.5559099999999995</v>
      </c>
      <c r="C53" s="246"/>
      <c r="D53" s="246" t="s">
        <v>37</v>
      </c>
      <c r="E53" s="246" t="s">
        <v>40</v>
      </c>
      <c r="F53" s="246" t="s">
        <v>29</v>
      </c>
      <c r="G53" s="246" t="s">
        <v>59</v>
      </c>
      <c r="H53" s="246" t="s">
        <v>136</v>
      </c>
      <c r="I53" s="246">
        <v>2</v>
      </c>
      <c r="J53" s="246">
        <f t="shared" si="2"/>
        <v>0.44206058346639993</v>
      </c>
      <c r="K53" s="246">
        <v>0.30331501776206199</v>
      </c>
      <c r="L53" s="246" t="s">
        <v>31</v>
      </c>
      <c r="M53" s="246" t="s">
        <v>31</v>
      </c>
      <c r="N53" s="246" t="s">
        <v>31</v>
      </c>
      <c r="O53" s="246" t="s">
        <v>260</v>
      </c>
      <c r="P53" s="247" t="s">
        <v>267</v>
      </c>
      <c r="Q53" t="s">
        <v>231</v>
      </c>
      <c r="S53" s="177" t="s">
        <v>268</v>
      </c>
    </row>
    <row r="54" spans="1:24">
      <c r="A54" t="s">
        <v>269</v>
      </c>
      <c r="B54" s="234">
        <f>S54</f>
        <v>1245.408823442667</v>
      </c>
      <c r="C54" s="235"/>
      <c r="D54" t="s">
        <v>39</v>
      </c>
      <c r="E54" t="s">
        <v>40</v>
      </c>
      <c r="F54" t="s">
        <v>29</v>
      </c>
      <c r="G54" t="s">
        <v>59</v>
      </c>
      <c r="H54" t="s">
        <v>33</v>
      </c>
      <c r="I54">
        <v>2</v>
      </c>
      <c r="J54">
        <f t="shared" si="2"/>
        <v>7.1272191272395489</v>
      </c>
      <c r="K54">
        <v>0.28635642126552707</v>
      </c>
      <c r="L54" t="s">
        <v>31</v>
      </c>
      <c r="M54" t="s">
        <v>31</v>
      </c>
      <c r="N54" t="s">
        <v>31</v>
      </c>
      <c r="P54" s="22"/>
      <c r="Q54" t="s">
        <v>231</v>
      </c>
      <c r="S54" s="22">
        <v>1245.408823442667</v>
      </c>
    </row>
    <row r="55" spans="1:24">
      <c r="A55" s="22" t="s">
        <v>69</v>
      </c>
      <c r="B55" s="236">
        <f>W55</f>
        <v>117.71269238227795</v>
      </c>
      <c r="C55" s="235"/>
      <c r="D55" s="22" t="s">
        <v>42</v>
      </c>
      <c r="E55" s="22" t="s">
        <v>40</v>
      </c>
      <c r="F55" s="22" t="s">
        <v>29</v>
      </c>
      <c r="G55" s="22" t="s">
        <v>249</v>
      </c>
      <c r="H55" s="22" t="s">
        <v>33</v>
      </c>
      <c r="I55">
        <v>2</v>
      </c>
      <c r="J55">
        <f t="shared" si="2"/>
        <v>4.7682468451751072</v>
      </c>
      <c r="K55">
        <v>0.28635642126552707</v>
      </c>
      <c r="L55" t="s">
        <v>31</v>
      </c>
      <c r="M55" t="s">
        <v>31</v>
      </c>
      <c r="N55" t="s">
        <v>31</v>
      </c>
      <c r="P55" s="22"/>
      <c r="Q55" t="s">
        <v>231</v>
      </c>
      <c r="R55" s="22"/>
      <c r="S55" s="227">
        <v>1252.3332569328165</v>
      </c>
      <c r="T55" s="22" t="s">
        <v>248</v>
      </c>
      <c r="U55" s="22">
        <f>S55/0.277778</f>
        <v>4508.3961182412449</v>
      </c>
      <c r="V55" s="22" t="s">
        <v>250</v>
      </c>
      <c r="W55" s="22">
        <f>U55/38.3</f>
        <v>117.71269238227795</v>
      </c>
      <c r="X55" s="22" t="s">
        <v>251</v>
      </c>
    </row>
    <row r="56" spans="1:24">
      <c r="A56" s="59" t="s">
        <v>70</v>
      </c>
      <c r="B56" s="237">
        <f>U56</f>
        <v>562.65923118650608</v>
      </c>
      <c r="C56" s="22"/>
      <c r="D56" s="22" t="s">
        <v>71</v>
      </c>
      <c r="E56" s="22" t="s">
        <v>40</v>
      </c>
      <c r="F56" s="22" t="s">
        <v>29</v>
      </c>
      <c r="G56" s="22" t="s">
        <v>59</v>
      </c>
      <c r="H56" s="22" t="s">
        <v>33</v>
      </c>
      <c r="I56">
        <v>2</v>
      </c>
      <c r="J56">
        <f t="shared" si="2"/>
        <v>6.3326741716845527</v>
      </c>
      <c r="K56">
        <v>0.28635642126552707</v>
      </c>
      <c r="L56" t="s">
        <v>31</v>
      </c>
      <c r="M56" t="s">
        <v>31</v>
      </c>
      <c r="N56" t="s">
        <v>31</v>
      </c>
      <c r="P56" s="22"/>
      <c r="Q56" t="s">
        <v>231</v>
      </c>
      <c r="R56" s="59"/>
      <c r="S56" s="227">
        <v>156.29435592052531</v>
      </c>
      <c r="T56" s="22" t="s">
        <v>248</v>
      </c>
      <c r="U56" s="22">
        <f>S56/0.277778</f>
        <v>562.65923118650608</v>
      </c>
      <c r="V56" s="22" t="s">
        <v>250</v>
      </c>
    </row>
    <row r="57" spans="1:24">
      <c r="A57" s="59" t="s">
        <v>252</v>
      </c>
      <c r="B57" s="236">
        <f>W57</f>
        <v>26.629018202910196</v>
      </c>
      <c r="C57" s="235"/>
      <c r="D57" s="22" t="s">
        <v>37</v>
      </c>
      <c r="E57" s="22" t="s">
        <v>40</v>
      </c>
      <c r="F57" s="22" t="s">
        <v>29</v>
      </c>
      <c r="G57" s="22" t="s">
        <v>59</v>
      </c>
      <c r="H57" s="22" t="s">
        <v>33</v>
      </c>
      <c r="I57">
        <v>2</v>
      </c>
      <c r="J57">
        <f t="shared" si="2"/>
        <v>3.2820015310617126</v>
      </c>
      <c r="K57">
        <v>0.28635642126552707</v>
      </c>
      <c r="L57" t="s">
        <v>31</v>
      </c>
      <c r="M57" t="s">
        <v>31</v>
      </c>
      <c r="N57" t="s">
        <v>31</v>
      </c>
      <c r="P57" s="22"/>
      <c r="Q57" t="s">
        <v>231</v>
      </c>
      <c r="R57" s="59"/>
      <c r="S57" s="227">
        <v>331.3836027428859</v>
      </c>
      <c r="T57" s="22" t="s">
        <v>248</v>
      </c>
      <c r="U57" s="22">
        <f>S57/0.277778</f>
        <v>1192.9800154903767</v>
      </c>
      <c r="V57" s="22" t="s">
        <v>250</v>
      </c>
      <c r="W57" s="22">
        <f>U57/44.8</f>
        <v>26.629018202910196</v>
      </c>
      <c r="X57" s="22" t="s">
        <v>241</v>
      </c>
    </row>
    <row r="58" spans="1:24">
      <c r="A58" s="59" t="s">
        <v>73</v>
      </c>
      <c r="B58" s="236">
        <f t="shared" ref="B58" si="3">W58</f>
        <v>52.569126482163014</v>
      </c>
      <c r="C58" s="235"/>
      <c r="D58" s="22" t="s">
        <v>37</v>
      </c>
      <c r="E58" s="22" t="s">
        <v>40</v>
      </c>
      <c r="F58" s="22" t="s">
        <v>29</v>
      </c>
      <c r="G58" s="22" t="s">
        <v>82</v>
      </c>
      <c r="H58" s="22" t="s">
        <v>33</v>
      </c>
      <c r="I58">
        <v>2</v>
      </c>
      <c r="J58">
        <f t="shared" si="2"/>
        <v>3.9621289984133545</v>
      </c>
      <c r="K58">
        <v>0.28635642126552707</v>
      </c>
      <c r="L58" t="s">
        <v>31</v>
      </c>
      <c r="M58" t="s">
        <v>31</v>
      </c>
      <c r="N58" t="s">
        <v>31</v>
      </c>
      <c r="P58" s="22"/>
      <c r="Q58" t="s">
        <v>231</v>
      </c>
      <c r="R58" s="59"/>
      <c r="S58" s="227">
        <v>674.63766289745729</v>
      </c>
      <c r="T58" s="22" t="s">
        <v>248</v>
      </c>
      <c r="U58" s="22">
        <f>S58/0.277778</f>
        <v>2428.6936434759314</v>
      </c>
      <c r="V58" s="22" t="s">
        <v>250</v>
      </c>
      <c r="W58" s="22">
        <f>U58/46.2</f>
        <v>52.569126482163014</v>
      </c>
      <c r="X58" s="22" t="s">
        <v>241</v>
      </c>
    </row>
    <row r="59" spans="1:24" s="84" customFormat="1">
      <c r="A59" s="22" t="s">
        <v>213</v>
      </c>
      <c r="B59" s="236">
        <f>W59</f>
        <v>0.32373948859983093</v>
      </c>
      <c r="C59" s="227"/>
      <c r="D59" s="22" t="s">
        <v>37</v>
      </c>
      <c r="E59" s="22" t="s">
        <v>2</v>
      </c>
      <c r="F59" s="22" t="s">
        <v>214</v>
      </c>
      <c r="G59" s="22" t="s">
        <v>59</v>
      </c>
      <c r="H59" s="22" t="s">
        <v>33</v>
      </c>
      <c r="I59" s="22">
        <v>2</v>
      </c>
      <c r="J59" s="22">
        <f t="shared" si="2"/>
        <v>-1.1278161341407849</v>
      </c>
      <c r="K59" s="22">
        <v>0.28635642126552707</v>
      </c>
      <c r="L59" s="22" t="s">
        <v>31</v>
      </c>
      <c r="M59" s="22" t="s">
        <v>31</v>
      </c>
      <c r="N59" s="22" t="s">
        <v>31</v>
      </c>
      <c r="O59" s="22"/>
      <c r="P59" s="22"/>
      <c r="Q59" t="s">
        <v>231</v>
      </c>
      <c r="R59" s="232"/>
      <c r="S59" s="227">
        <v>3.9568191372284889</v>
      </c>
      <c r="T59" s="22" t="s">
        <v>248</v>
      </c>
      <c r="U59" s="22">
        <f>S59/0.277778</f>
        <v>14.24453749839256</v>
      </c>
      <c r="V59" s="22" t="s">
        <v>250</v>
      </c>
      <c r="W59" s="22">
        <f>U59/44</f>
        <v>0.32373948859983093</v>
      </c>
      <c r="X59" s="22" t="s">
        <v>241</v>
      </c>
    </row>
    <row r="60" spans="1:24">
      <c r="A60" t="s">
        <v>75</v>
      </c>
      <c r="B60" s="235">
        <f>3.04535595692006*997.42788</f>
        <v>3037.5229359561467</v>
      </c>
      <c r="C60" s="235"/>
      <c r="D60" t="s">
        <v>37</v>
      </c>
      <c r="E60" t="s">
        <v>40</v>
      </c>
      <c r="F60" t="s">
        <v>29</v>
      </c>
      <c r="G60" t="s">
        <v>59</v>
      </c>
      <c r="H60" t="s">
        <v>33</v>
      </c>
      <c r="I60">
        <v>2</v>
      </c>
      <c r="J60">
        <f t="shared" si="2"/>
        <v>8.0187976385523605</v>
      </c>
      <c r="K60">
        <v>0.28635642126552707</v>
      </c>
      <c r="L60" t="s">
        <v>31</v>
      </c>
      <c r="M60" t="s">
        <v>31</v>
      </c>
      <c r="N60" t="s">
        <v>31</v>
      </c>
      <c r="O60" t="s">
        <v>253</v>
      </c>
      <c r="P60" s="22"/>
      <c r="Q60" t="s">
        <v>231</v>
      </c>
    </row>
    <row r="61" spans="1:24">
      <c r="A61" s="74" t="s">
        <v>76</v>
      </c>
      <c r="B61" s="235">
        <v>2.8397576561401023</v>
      </c>
      <c r="C61" s="235"/>
      <c r="D61" s="22" t="s">
        <v>42</v>
      </c>
      <c r="E61" s="22" t="s">
        <v>40</v>
      </c>
      <c r="F61" s="22" t="s">
        <v>29</v>
      </c>
      <c r="G61" s="204" t="s">
        <v>82</v>
      </c>
      <c r="H61" s="22" t="s">
        <v>33</v>
      </c>
      <c r="I61">
        <v>2</v>
      </c>
      <c r="J61">
        <f t="shared" si="2"/>
        <v>1.0437187161870687</v>
      </c>
      <c r="K61">
        <v>0.28635642126552707</v>
      </c>
      <c r="L61" t="s">
        <v>31</v>
      </c>
      <c r="M61" t="s">
        <v>31</v>
      </c>
      <c r="N61" t="s">
        <v>31</v>
      </c>
      <c r="P61" s="22"/>
      <c r="Q61" t="s">
        <v>231</v>
      </c>
    </row>
    <row r="62" spans="1:24">
      <c r="A62" t="s">
        <v>81</v>
      </c>
      <c r="B62" s="235">
        <v>68.908005274834125</v>
      </c>
      <c r="C62" s="235"/>
      <c r="D62" t="s">
        <v>37</v>
      </c>
      <c r="E62" t="s">
        <v>40</v>
      </c>
      <c r="F62" t="s">
        <v>29</v>
      </c>
      <c r="G62" t="s">
        <v>82</v>
      </c>
      <c r="H62" t="s">
        <v>33</v>
      </c>
      <c r="I62">
        <v>2</v>
      </c>
      <c r="J62">
        <f t="shared" si="2"/>
        <v>4.2327723581330563</v>
      </c>
      <c r="K62">
        <v>0.28635642126552707</v>
      </c>
      <c r="L62" t="s">
        <v>31</v>
      </c>
      <c r="M62" t="s">
        <v>31</v>
      </c>
      <c r="N62" t="s">
        <v>31</v>
      </c>
      <c r="P62" s="22"/>
      <c r="Q62" t="s">
        <v>231</v>
      </c>
    </row>
    <row r="63" spans="1:24">
      <c r="A63" t="s">
        <v>77</v>
      </c>
      <c r="B63" s="235">
        <v>1294.6009881614755</v>
      </c>
      <c r="C63" s="235"/>
      <c r="D63" t="s">
        <v>37</v>
      </c>
      <c r="E63" t="s">
        <v>43</v>
      </c>
      <c r="F63" t="s">
        <v>44</v>
      </c>
      <c r="G63" t="s">
        <v>29</v>
      </c>
      <c r="H63" t="s">
        <v>45</v>
      </c>
      <c r="I63">
        <v>2</v>
      </c>
      <c r="J63">
        <f t="shared" si="2"/>
        <v>7.1659578094059393</v>
      </c>
      <c r="K63">
        <v>0.28635642126552707</v>
      </c>
      <c r="L63" t="s">
        <v>31</v>
      </c>
      <c r="M63" t="s">
        <v>31</v>
      </c>
      <c r="N63" t="s">
        <v>31</v>
      </c>
      <c r="P63" s="22"/>
      <c r="Q63" t="s">
        <v>231</v>
      </c>
    </row>
    <row r="64" spans="1:24">
      <c r="A64" t="s">
        <v>79</v>
      </c>
      <c r="B64" s="235">
        <v>1.3848866980299711E-2</v>
      </c>
      <c r="C64" s="235"/>
      <c r="D64" t="s">
        <v>37</v>
      </c>
      <c r="E64" t="s">
        <v>43</v>
      </c>
      <c r="F64" t="s">
        <v>44</v>
      </c>
      <c r="G64" t="s">
        <v>29</v>
      </c>
      <c r="H64" t="s">
        <v>45</v>
      </c>
      <c r="I64">
        <v>2</v>
      </c>
      <c r="J64">
        <f t="shared" si="2"/>
        <v>-4.2795518561716772</v>
      </c>
      <c r="K64">
        <v>0.28635642126552707</v>
      </c>
      <c r="L64" t="s">
        <v>31</v>
      </c>
      <c r="M64" t="s">
        <v>31</v>
      </c>
      <c r="N64" t="s">
        <v>31</v>
      </c>
      <c r="P64" s="22"/>
      <c r="Q64" t="s">
        <v>231</v>
      </c>
    </row>
    <row r="65" spans="1:24">
      <c r="A65" t="s">
        <v>80</v>
      </c>
      <c r="B65">
        <v>0.21960346211618112</v>
      </c>
      <c r="D65" t="s">
        <v>37</v>
      </c>
      <c r="E65" t="s">
        <v>43</v>
      </c>
      <c r="F65" t="s">
        <v>44</v>
      </c>
      <c r="G65" t="s">
        <v>29</v>
      </c>
      <c r="H65" t="s">
        <v>45</v>
      </c>
      <c r="I65">
        <v>2</v>
      </c>
      <c r="J65">
        <f t="shared" si="2"/>
        <v>-1.5159318039146563</v>
      </c>
      <c r="K65">
        <v>0.28635642126552707</v>
      </c>
      <c r="L65" t="s">
        <v>31</v>
      </c>
      <c r="M65" t="s">
        <v>31</v>
      </c>
      <c r="N65" t="s">
        <v>31</v>
      </c>
      <c r="P65" s="22"/>
      <c r="Q65" t="s">
        <v>231</v>
      </c>
    </row>
    <row r="66" spans="1:24">
      <c r="A66" t="s">
        <v>78</v>
      </c>
      <c r="B66">
        <v>1.0396542283067853</v>
      </c>
      <c r="D66" t="s">
        <v>37</v>
      </c>
      <c r="E66" t="s">
        <v>43</v>
      </c>
      <c r="F66" t="s">
        <v>44</v>
      </c>
      <c r="G66" t="s">
        <v>29</v>
      </c>
      <c r="H66" t="s">
        <v>45</v>
      </c>
      <c r="I66">
        <v>2</v>
      </c>
      <c r="J66">
        <f t="shared" si="2"/>
        <v>3.888818509001539E-2</v>
      </c>
      <c r="K66">
        <v>0.28635642126552702</v>
      </c>
      <c r="L66" t="s">
        <v>31</v>
      </c>
      <c r="M66" t="s">
        <v>31</v>
      </c>
      <c r="N66" t="s">
        <v>31</v>
      </c>
      <c r="P66" s="22"/>
      <c r="Q66" t="s">
        <v>231</v>
      </c>
    </row>
    <row r="67" spans="1:24" s="70" customFormat="1">
      <c r="A67" s="224" t="s">
        <v>5</v>
      </c>
      <c r="B67" s="224" t="s">
        <v>239</v>
      </c>
      <c r="C67" s="224"/>
      <c r="D67" s="69"/>
      <c r="Q67" s="70" t="s">
        <v>231</v>
      </c>
      <c r="S67" s="225"/>
      <c r="T67" s="225"/>
      <c r="U67" s="225"/>
      <c r="V67" s="225"/>
      <c r="W67" s="225"/>
      <c r="X67" s="225"/>
    </row>
    <row r="68" spans="1:24">
      <c r="A68" t="s">
        <v>7</v>
      </c>
      <c r="B68" t="s">
        <v>232</v>
      </c>
      <c r="Q68" t="s">
        <v>231</v>
      </c>
    </row>
    <row r="69" spans="1:24">
      <c r="A69" t="s">
        <v>9</v>
      </c>
      <c r="B69" s="226" t="s">
        <v>270</v>
      </c>
      <c r="C69" s="22"/>
      <c r="Q69" t="s">
        <v>231</v>
      </c>
    </row>
    <row r="70" spans="1:24">
      <c r="A70" t="s">
        <v>11</v>
      </c>
      <c r="B70" t="s">
        <v>271</v>
      </c>
      <c r="Q70" t="s">
        <v>231</v>
      </c>
    </row>
    <row r="71" spans="1:24">
      <c r="A71" t="s">
        <v>13</v>
      </c>
      <c r="B71" t="s">
        <v>59</v>
      </c>
      <c r="Q71" t="s">
        <v>231</v>
      </c>
    </row>
    <row r="72" spans="1:24">
      <c r="A72" t="s">
        <v>15</v>
      </c>
      <c r="B72">
        <v>1</v>
      </c>
      <c r="Q72" t="s">
        <v>231</v>
      </c>
    </row>
    <row r="73" spans="1:24">
      <c r="A73" t="s">
        <v>16</v>
      </c>
      <c r="B73" t="s">
        <v>17</v>
      </c>
      <c r="Q73" t="s">
        <v>231</v>
      </c>
    </row>
    <row r="74" spans="1:24">
      <c r="A74" t="s">
        <v>18</v>
      </c>
      <c r="B74" t="s">
        <v>18</v>
      </c>
      <c r="E74" t="s">
        <v>235</v>
      </c>
      <c r="Q74" t="s">
        <v>231</v>
      </c>
    </row>
    <row r="75" spans="1:24">
      <c r="A75" s="131" t="s">
        <v>19</v>
      </c>
      <c r="Q75" t="s">
        <v>231</v>
      </c>
    </row>
    <row r="76" spans="1:24">
      <c r="A76" s="131" t="s">
        <v>20</v>
      </c>
      <c r="B76" s="131" t="s">
        <v>21</v>
      </c>
      <c r="C76" s="131" t="s">
        <v>217</v>
      </c>
      <c r="D76" s="131" t="s">
        <v>18</v>
      </c>
      <c r="E76" s="131" t="s">
        <v>22</v>
      </c>
      <c r="F76" s="131" t="s">
        <v>7</v>
      </c>
      <c r="G76" s="131" t="s">
        <v>13</v>
      </c>
      <c r="H76" s="131" t="s">
        <v>16</v>
      </c>
      <c r="I76" s="131" t="s">
        <v>23</v>
      </c>
      <c r="J76" s="131" t="s">
        <v>24</v>
      </c>
      <c r="K76" s="131" t="s">
        <v>25</v>
      </c>
      <c r="L76" s="131" t="s">
        <v>26</v>
      </c>
      <c r="M76" s="131" t="s">
        <v>27</v>
      </c>
      <c r="N76" s="131" t="s">
        <v>28</v>
      </c>
      <c r="O76" s="131" t="s">
        <v>11</v>
      </c>
      <c r="P76" s="177" t="s">
        <v>236</v>
      </c>
      <c r="Q76" t="s">
        <v>231</v>
      </c>
    </row>
    <row r="77" spans="1:24">
      <c r="A77" s="24" t="str">
        <f>B67</f>
        <v>Production of Propellers, EM</v>
      </c>
      <c r="B77" s="250">
        <v>1</v>
      </c>
      <c r="C77" s="250"/>
      <c r="D77" t="s">
        <v>18</v>
      </c>
      <c r="E77" t="s">
        <v>2</v>
      </c>
      <c r="F77" t="s">
        <v>29</v>
      </c>
      <c r="G77" s="223" t="s">
        <v>59</v>
      </c>
      <c r="H77" t="s">
        <v>30</v>
      </c>
      <c r="I77">
        <v>1</v>
      </c>
      <c r="J77">
        <v>1</v>
      </c>
      <c r="K77" t="s">
        <v>31</v>
      </c>
      <c r="L77" t="s">
        <v>31</v>
      </c>
      <c r="M77" t="s">
        <v>31</v>
      </c>
      <c r="N77" t="s">
        <v>31</v>
      </c>
      <c r="Q77" t="s">
        <v>231</v>
      </c>
    </row>
    <row r="78" spans="1:24">
      <c r="A78" s="241" t="s">
        <v>97</v>
      </c>
      <c r="B78" s="251">
        <f>51.7554281277623*1.5*0.2</f>
        <v>15.526628438328693</v>
      </c>
      <c r="C78" s="252"/>
      <c r="D78" s="223" t="s">
        <v>37</v>
      </c>
      <c r="E78" s="223" t="s">
        <v>40</v>
      </c>
      <c r="F78" s="223" t="s">
        <v>29</v>
      </c>
      <c r="G78" s="223" t="s">
        <v>59</v>
      </c>
      <c r="H78" s="223" t="s">
        <v>33</v>
      </c>
      <c r="I78" s="223">
        <v>2</v>
      </c>
      <c r="J78" s="223">
        <f t="shared" ref="J78:J99" si="4">LN(B78)</f>
        <v>2.7425565136765546</v>
      </c>
      <c r="K78" s="223">
        <v>0.30331501776206199</v>
      </c>
      <c r="L78" s="223" t="s">
        <v>31</v>
      </c>
      <c r="M78" s="223" t="s">
        <v>31</v>
      </c>
      <c r="N78" s="223" t="s">
        <v>31</v>
      </c>
      <c r="O78" s="223" t="s">
        <v>257</v>
      </c>
      <c r="P78" s="22" t="s">
        <v>272</v>
      </c>
      <c r="Q78" t="s">
        <v>231</v>
      </c>
    </row>
    <row r="79" spans="1:24">
      <c r="A79" s="241" t="s">
        <v>134</v>
      </c>
      <c r="B79" s="252">
        <f>51.7554281277623*1.5*0.8</f>
        <v>62.106513753314772</v>
      </c>
      <c r="C79" s="252"/>
      <c r="D79" s="223" t="s">
        <v>37</v>
      </c>
      <c r="E79" s="223" t="s">
        <v>40</v>
      </c>
      <c r="F79" s="223" t="s">
        <v>29</v>
      </c>
      <c r="G79" s="223" t="s">
        <v>59</v>
      </c>
      <c r="H79" s="223" t="s">
        <v>33</v>
      </c>
      <c r="I79" s="223">
        <v>2</v>
      </c>
      <c r="J79" s="223">
        <f t="shared" si="4"/>
        <v>4.128850874796445</v>
      </c>
      <c r="K79" s="223">
        <v>0.30331501776206199</v>
      </c>
      <c r="L79" s="223" t="s">
        <v>31</v>
      </c>
      <c r="M79" s="223" t="s">
        <v>31</v>
      </c>
      <c r="N79" s="223" t="s">
        <v>31</v>
      </c>
      <c r="O79" s="223" t="s">
        <v>257</v>
      </c>
      <c r="P79" s="22" t="s">
        <v>273</v>
      </c>
      <c r="Q79" t="s">
        <v>231</v>
      </c>
    </row>
    <row r="80" spans="1:24">
      <c r="A80" s="241" t="s">
        <v>85</v>
      </c>
      <c r="B80" s="252">
        <f>51.7554281277623*30</f>
        <v>1552.6628438328689</v>
      </c>
      <c r="C80" s="252"/>
      <c r="D80" s="223" t="s">
        <v>37</v>
      </c>
      <c r="E80" s="223" t="s">
        <v>40</v>
      </c>
      <c r="F80" s="223" t="s">
        <v>29</v>
      </c>
      <c r="G80" s="223" t="s">
        <v>59</v>
      </c>
      <c r="H80" s="223" t="s">
        <v>33</v>
      </c>
      <c r="I80" s="223">
        <v>2</v>
      </c>
      <c r="J80" s="223">
        <f t="shared" si="4"/>
        <v>7.347726699664646</v>
      </c>
      <c r="K80" s="223">
        <v>0.30331501776206199</v>
      </c>
      <c r="L80" s="223" t="s">
        <v>31</v>
      </c>
      <c r="M80" s="223" t="s">
        <v>31</v>
      </c>
      <c r="N80" s="223" t="s">
        <v>31</v>
      </c>
      <c r="O80" s="223" t="s">
        <v>257</v>
      </c>
      <c r="P80" s="22" t="s">
        <v>274</v>
      </c>
      <c r="Q80" t="s">
        <v>231</v>
      </c>
    </row>
    <row r="81" spans="1:24" s="84" customFormat="1">
      <c r="A81" s="253" t="s">
        <v>275</v>
      </c>
      <c r="B81" s="254">
        <f>B78*(1-1/1.5)</f>
        <v>5.1755428127762313</v>
      </c>
      <c r="C81" s="254"/>
      <c r="D81" s="255" t="s">
        <v>37</v>
      </c>
      <c r="E81" s="255" t="s">
        <v>40</v>
      </c>
      <c r="F81" s="255" t="s">
        <v>29</v>
      </c>
      <c r="G81" s="255" t="s">
        <v>82</v>
      </c>
      <c r="H81" s="255" t="s">
        <v>33</v>
      </c>
      <c r="I81" s="255">
        <v>2</v>
      </c>
      <c r="J81" s="255">
        <f t="shared" si="4"/>
        <v>1.6439442250084448</v>
      </c>
      <c r="K81" s="255">
        <v>0.30331501776206199</v>
      </c>
      <c r="L81" s="255" t="s">
        <v>31</v>
      </c>
      <c r="M81" s="255" t="s">
        <v>31</v>
      </c>
      <c r="N81" s="255" t="s">
        <v>31</v>
      </c>
      <c r="O81" s="255" t="s">
        <v>260</v>
      </c>
      <c r="P81" s="256" t="s">
        <v>276</v>
      </c>
      <c r="Q81" t="s">
        <v>231</v>
      </c>
      <c r="R81" s="22"/>
      <c r="S81" s="22"/>
      <c r="T81" s="22"/>
      <c r="U81" s="22"/>
      <c r="V81" s="22"/>
      <c r="W81" s="22"/>
      <c r="X81" s="22"/>
    </row>
    <row r="82" spans="1:24">
      <c r="A82" s="242" t="s">
        <v>135</v>
      </c>
      <c r="B82" s="257">
        <f>B79*(1-1/1.5)</f>
        <v>20.702171251104925</v>
      </c>
      <c r="C82" s="257"/>
      <c r="D82" s="258" t="s">
        <v>37</v>
      </c>
      <c r="E82" s="258" t="s">
        <v>40</v>
      </c>
      <c r="F82" s="258" t="s">
        <v>29</v>
      </c>
      <c r="G82" s="258" t="s">
        <v>82</v>
      </c>
      <c r="H82" s="258" t="s">
        <v>33</v>
      </c>
      <c r="I82" s="258">
        <v>2</v>
      </c>
      <c r="J82" s="258">
        <f t="shared" si="4"/>
        <v>3.0302385861283354</v>
      </c>
      <c r="K82" s="258">
        <v>0.30331501776206199</v>
      </c>
      <c r="L82" s="258" t="s">
        <v>31</v>
      </c>
      <c r="M82" s="258" t="s">
        <v>31</v>
      </c>
      <c r="N82" s="258" t="s">
        <v>31</v>
      </c>
      <c r="O82" s="258" t="s">
        <v>260</v>
      </c>
      <c r="P82" s="244" t="s">
        <v>277</v>
      </c>
      <c r="Q82" t="s">
        <v>231</v>
      </c>
      <c r="R82" s="22"/>
    </row>
    <row r="83" spans="1:24">
      <c r="A83" s="245" t="s">
        <v>134</v>
      </c>
      <c r="B83" s="259">
        <f>B79*(1-1/1.5)</f>
        <v>20.702171251104925</v>
      </c>
      <c r="C83" s="259"/>
      <c r="D83" s="260" t="s">
        <v>37</v>
      </c>
      <c r="E83" s="260" t="s">
        <v>40</v>
      </c>
      <c r="F83" s="260" t="s">
        <v>29</v>
      </c>
      <c r="G83" s="260" t="s">
        <v>59</v>
      </c>
      <c r="H83" s="260" t="s">
        <v>136</v>
      </c>
      <c r="I83" s="260">
        <v>2</v>
      </c>
      <c r="J83" s="260">
        <f t="shared" si="4"/>
        <v>3.0302385861283354</v>
      </c>
      <c r="K83" s="260">
        <v>0.30331501776206199</v>
      </c>
      <c r="L83" s="260" t="s">
        <v>31</v>
      </c>
      <c r="M83" s="260" t="s">
        <v>31</v>
      </c>
      <c r="N83" s="260" t="s">
        <v>31</v>
      </c>
      <c r="O83" s="260" t="s">
        <v>260</v>
      </c>
      <c r="P83" s="247" t="s">
        <v>278</v>
      </c>
      <c r="Q83" t="s">
        <v>231</v>
      </c>
      <c r="R83" s="22"/>
    </row>
    <row r="84" spans="1:24">
      <c r="A84" s="242" t="s">
        <v>263</v>
      </c>
      <c r="B84" s="257">
        <f>B80*(1-1/30)</f>
        <v>1500.9074157051066</v>
      </c>
      <c r="C84" s="257"/>
      <c r="D84" s="258" t="s">
        <v>37</v>
      </c>
      <c r="E84" s="258" t="s">
        <v>40</v>
      </c>
      <c r="F84" s="258" t="s">
        <v>29</v>
      </c>
      <c r="G84" s="258" t="s">
        <v>82</v>
      </c>
      <c r="H84" s="258" t="s">
        <v>33</v>
      </c>
      <c r="I84" s="258">
        <v>2</v>
      </c>
      <c r="J84" s="258">
        <f t="shared" si="4"/>
        <v>7.3138251479889638</v>
      </c>
      <c r="K84" s="258">
        <v>0.30331501776206199</v>
      </c>
      <c r="L84" s="258" t="s">
        <v>31</v>
      </c>
      <c r="M84" s="258" t="s">
        <v>31</v>
      </c>
      <c r="N84" s="258" t="s">
        <v>31</v>
      </c>
      <c r="O84" s="258" t="s">
        <v>260</v>
      </c>
      <c r="P84" s="244" t="s">
        <v>279</v>
      </c>
      <c r="Q84" t="s">
        <v>231</v>
      </c>
      <c r="R84" s="22"/>
    </row>
    <row r="85" spans="1:24">
      <c r="A85" s="248" t="s">
        <v>265</v>
      </c>
      <c r="B85" s="261">
        <f>B80*(1-1/30)</f>
        <v>1500.9074157051066</v>
      </c>
      <c r="C85" s="59" t="s">
        <v>266</v>
      </c>
      <c r="D85" s="221" t="s">
        <v>37</v>
      </c>
      <c r="E85" s="221" t="s">
        <v>40</v>
      </c>
      <c r="F85" s="221" t="s">
        <v>29</v>
      </c>
      <c r="G85" s="221" t="s">
        <v>82</v>
      </c>
      <c r="H85" s="221" t="s">
        <v>33</v>
      </c>
      <c r="I85" s="221">
        <v>2</v>
      </c>
      <c r="J85" s="221">
        <f t="shared" si="4"/>
        <v>7.3138251479889638</v>
      </c>
      <c r="K85" s="221">
        <v>0.30331501776206199</v>
      </c>
      <c r="L85" s="221" t="s">
        <v>31</v>
      </c>
      <c r="M85" s="221" t="s">
        <v>31</v>
      </c>
      <c r="N85" s="221" t="s">
        <v>31</v>
      </c>
      <c r="O85" s="221" t="s">
        <v>260</v>
      </c>
      <c r="P85" s="249" t="s">
        <v>279</v>
      </c>
      <c r="Q85" t="s">
        <v>231</v>
      </c>
      <c r="R85" s="22"/>
    </row>
    <row r="86" spans="1:24">
      <c r="A86" s="245" t="s">
        <v>85</v>
      </c>
      <c r="B86" s="262">
        <f>B80*(1-1/30)</f>
        <v>1500.9074157051066</v>
      </c>
      <c r="C86" s="262"/>
      <c r="D86" s="246" t="s">
        <v>37</v>
      </c>
      <c r="E86" s="246" t="s">
        <v>40</v>
      </c>
      <c r="F86" s="246" t="s">
        <v>29</v>
      </c>
      <c r="G86" s="246" t="s">
        <v>59</v>
      </c>
      <c r="H86" s="246" t="s">
        <v>136</v>
      </c>
      <c r="I86" s="246">
        <v>2</v>
      </c>
      <c r="J86" s="246">
        <f t="shared" si="4"/>
        <v>7.3138251479889638</v>
      </c>
      <c r="K86" s="246">
        <v>0.30331501776206199</v>
      </c>
      <c r="L86" s="246" t="s">
        <v>31</v>
      </c>
      <c r="M86" s="246" t="s">
        <v>31</v>
      </c>
      <c r="N86" s="246" t="s">
        <v>31</v>
      </c>
      <c r="O86" s="246" t="s">
        <v>260</v>
      </c>
      <c r="P86" s="247" t="s">
        <v>280</v>
      </c>
      <c r="Q86" t="s">
        <v>231</v>
      </c>
      <c r="S86" s="177" t="s">
        <v>268</v>
      </c>
    </row>
    <row r="87" spans="1:24">
      <c r="A87" t="s">
        <v>269</v>
      </c>
      <c r="B87" s="234">
        <f>S87</f>
        <v>4142.6989254756381</v>
      </c>
      <c r="C87" s="235"/>
      <c r="D87" t="s">
        <v>39</v>
      </c>
      <c r="E87" t="s">
        <v>40</v>
      </c>
      <c r="F87" t="s">
        <v>29</v>
      </c>
      <c r="G87" t="s">
        <v>59</v>
      </c>
      <c r="H87" t="s">
        <v>33</v>
      </c>
      <c r="I87">
        <v>2</v>
      </c>
      <c r="J87">
        <f t="shared" si="4"/>
        <v>8.3291027687815937</v>
      </c>
      <c r="K87">
        <v>0.28635642126552707</v>
      </c>
      <c r="L87" t="s">
        <v>31</v>
      </c>
      <c r="M87" t="s">
        <v>31</v>
      </c>
      <c r="N87" t="s">
        <v>31</v>
      </c>
      <c r="P87" s="22"/>
      <c r="Q87" t="s">
        <v>231</v>
      </c>
      <c r="S87" s="22">
        <v>4142.6989254756381</v>
      </c>
    </row>
    <row r="88" spans="1:24">
      <c r="A88" s="22" t="s">
        <v>69</v>
      </c>
      <c r="B88" s="236">
        <f>W88</f>
        <v>391.55676037279687</v>
      </c>
      <c r="C88" s="263"/>
      <c r="D88" s="22" t="s">
        <v>42</v>
      </c>
      <c r="E88" s="22" t="s">
        <v>40</v>
      </c>
      <c r="F88" s="22" t="s">
        <v>29</v>
      </c>
      <c r="G88" s="22" t="s">
        <v>249</v>
      </c>
      <c r="H88" s="22" t="s">
        <v>33</v>
      </c>
      <c r="I88">
        <v>2</v>
      </c>
      <c r="J88">
        <f t="shared" si="4"/>
        <v>5.9701304867171521</v>
      </c>
      <c r="K88">
        <v>0.28635642126552707</v>
      </c>
      <c r="L88" t="s">
        <v>31</v>
      </c>
      <c r="M88" t="s">
        <v>31</v>
      </c>
      <c r="N88" t="s">
        <v>31</v>
      </c>
      <c r="P88" s="22"/>
      <c r="Q88" t="s">
        <v>231</v>
      </c>
      <c r="R88" s="22"/>
      <c r="S88" s="227">
        <v>4165.7321998825719</v>
      </c>
      <c r="T88" s="22" t="s">
        <v>248</v>
      </c>
      <c r="U88" s="22">
        <f>S88/0.277778</f>
        <v>14996.623922278119</v>
      </c>
      <c r="V88" s="22" t="s">
        <v>250</v>
      </c>
      <c r="W88" s="22">
        <f>U88/38.3</f>
        <v>391.55676037279687</v>
      </c>
      <c r="X88" s="22" t="s">
        <v>251</v>
      </c>
    </row>
    <row r="89" spans="1:24">
      <c r="A89" s="59" t="s">
        <v>70</v>
      </c>
      <c r="B89" s="237">
        <f>U89</f>
        <v>1871.6165716587227</v>
      </c>
      <c r="C89" s="263"/>
      <c r="D89" s="22" t="s">
        <v>71</v>
      </c>
      <c r="E89" s="22" t="s">
        <v>40</v>
      </c>
      <c r="F89" s="22" t="s">
        <v>29</v>
      </c>
      <c r="G89" s="22" t="s">
        <v>59</v>
      </c>
      <c r="H89" s="22" t="s">
        <v>33</v>
      </c>
      <c r="I89">
        <v>2</v>
      </c>
      <c r="J89">
        <f t="shared" si="4"/>
        <v>7.5345578132265976</v>
      </c>
      <c r="K89">
        <v>0.28635642126552707</v>
      </c>
      <c r="L89" t="s">
        <v>31</v>
      </c>
      <c r="M89" t="s">
        <v>31</v>
      </c>
      <c r="N89" t="s">
        <v>31</v>
      </c>
      <c r="P89" s="22"/>
      <c r="Q89" t="s">
        <v>231</v>
      </c>
      <c r="R89" s="59"/>
      <c r="S89" s="227">
        <v>519.89390804221671</v>
      </c>
      <c r="T89" s="22" t="s">
        <v>248</v>
      </c>
      <c r="U89" s="22">
        <f>S89/0.277778</f>
        <v>1871.6165716587227</v>
      </c>
      <c r="V89" s="22" t="s">
        <v>250</v>
      </c>
    </row>
    <row r="90" spans="1:24">
      <c r="A90" s="59" t="s">
        <v>252</v>
      </c>
      <c r="B90" s="236">
        <f>W90</f>
        <v>88.578146403943265</v>
      </c>
      <c r="C90" s="250"/>
      <c r="D90" s="22" t="s">
        <v>37</v>
      </c>
      <c r="E90" s="22" t="s">
        <v>40</v>
      </c>
      <c r="F90" s="22" t="s">
        <v>29</v>
      </c>
      <c r="G90" s="22" t="s">
        <v>59</v>
      </c>
      <c r="H90" s="22" t="s">
        <v>33</v>
      </c>
      <c r="I90">
        <v>2</v>
      </c>
      <c r="J90">
        <f t="shared" si="4"/>
        <v>4.4838851726037579</v>
      </c>
      <c r="K90">
        <v>0.28635642126552707</v>
      </c>
      <c r="L90" t="s">
        <v>31</v>
      </c>
      <c r="M90" t="s">
        <v>31</v>
      </c>
      <c r="N90" t="s">
        <v>31</v>
      </c>
      <c r="P90" s="22"/>
      <c r="Q90" t="s">
        <v>231</v>
      </c>
      <c r="R90" s="59"/>
      <c r="S90" s="227">
        <v>1102.306703760396</v>
      </c>
      <c r="T90" s="22" t="s">
        <v>248</v>
      </c>
      <c r="U90" s="22">
        <f>S90/0.277778</f>
        <v>3968.3009588966579</v>
      </c>
      <c r="V90" s="22" t="s">
        <v>250</v>
      </c>
      <c r="W90" s="22">
        <f>U90/44.8</f>
        <v>88.578146403943265</v>
      </c>
      <c r="X90" s="22" t="s">
        <v>241</v>
      </c>
    </row>
    <row r="91" spans="1:24">
      <c r="A91" s="59" t="s">
        <v>73</v>
      </c>
      <c r="B91" s="236">
        <f t="shared" ref="B91" si="5">W91</f>
        <v>174.86471887106808</v>
      </c>
      <c r="C91" s="250"/>
      <c r="D91" s="22" t="s">
        <v>37</v>
      </c>
      <c r="E91" s="22" t="s">
        <v>40</v>
      </c>
      <c r="F91" s="22" t="s">
        <v>29</v>
      </c>
      <c r="G91" s="22" t="s">
        <v>82</v>
      </c>
      <c r="H91" s="22" t="s">
        <v>33</v>
      </c>
      <c r="I91">
        <v>2</v>
      </c>
      <c r="J91">
        <f t="shared" si="4"/>
        <v>5.1640126399553994</v>
      </c>
      <c r="K91">
        <v>0.28635642126552707</v>
      </c>
      <c r="L91" t="s">
        <v>31</v>
      </c>
      <c r="M91" t="s">
        <v>31</v>
      </c>
      <c r="N91" t="s">
        <v>31</v>
      </c>
      <c r="P91" s="22"/>
      <c r="Q91" t="s">
        <v>231</v>
      </c>
      <c r="R91" s="59"/>
      <c r="S91" s="227">
        <v>2244.0990207898212</v>
      </c>
      <c r="T91" s="22" t="s">
        <v>248</v>
      </c>
      <c r="U91" s="22">
        <f>S91/0.277778</f>
        <v>8078.7500118433463</v>
      </c>
      <c r="V91" s="22" t="s">
        <v>250</v>
      </c>
      <c r="W91" s="22">
        <f>U91/46.2</f>
        <v>174.86471887106808</v>
      </c>
      <c r="X91" s="22" t="s">
        <v>241</v>
      </c>
    </row>
    <row r="92" spans="1:24" s="84" customFormat="1">
      <c r="A92" s="22" t="s">
        <v>213</v>
      </c>
      <c r="B92" s="236">
        <f>W92</f>
        <v>1.0768795003790119</v>
      </c>
      <c r="C92" s="227"/>
      <c r="D92" s="22" t="s">
        <v>37</v>
      </c>
      <c r="E92" s="22" t="s">
        <v>2</v>
      </c>
      <c r="F92" s="22" t="s">
        <v>214</v>
      </c>
      <c r="G92" s="22" t="s">
        <v>59</v>
      </c>
      <c r="H92" s="22" t="s">
        <v>33</v>
      </c>
      <c r="I92" s="22">
        <v>2</v>
      </c>
      <c r="J92" s="22">
        <f t="shared" si="4"/>
        <v>7.4067507401260183E-2</v>
      </c>
      <c r="K92" s="22">
        <v>0.28635642126552707</v>
      </c>
      <c r="L92" s="22" t="s">
        <v>31</v>
      </c>
      <c r="M92" s="22" t="s">
        <v>31</v>
      </c>
      <c r="N92" s="22" t="s">
        <v>31</v>
      </c>
      <c r="P92" s="22"/>
      <c r="Q92" t="s">
        <v>231</v>
      </c>
      <c r="R92" s="232"/>
      <c r="S92" s="227">
        <v>13.161871089676373</v>
      </c>
      <c r="T92" s="22" t="s">
        <v>248</v>
      </c>
      <c r="U92" s="22">
        <f>S92/0.277778</f>
        <v>47.382698016676521</v>
      </c>
      <c r="V92" s="22" t="s">
        <v>250</v>
      </c>
      <c r="W92" s="22">
        <f>U92/44</f>
        <v>1.0768795003790119</v>
      </c>
      <c r="X92" s="22" t="s">
        <v>241</v>
      </c>
    </row>
    <row r="93" spans="1:24">
      <c r="A93" t="s">
        <v>75</v>
      </c>
      <c r="B93" s="235">
        <f>10.1300011794917*997.42788</f>
        <v>10103.945600857905</v>
      </c>
      <c r="C93" s="235"/>
      <c r="D93" t="s">
        <v>37</v>
      </c>
      <c r="E93" t="s">
        <v>40</v>
      </c>
      <c r="F93" t="s">
        <v>29</v>
      </c>
      <c r="G93" t="s">
        <v>59</v>
      </c>
      <c r="H93" t="s">
        <v>33</v>
      </c>
      <c r="I93">
        <v>2</v>
      </c>
      <c r="J93">
        <f t="shared" si="4"/>
        <v>9.2206812800944071</v>
      </c>
      <c r="K93">
        <v>0.28635642126552707</v>
      </c>
      <c r="L93" t="s">
        <v>31</v>
      </c>
      <c r="M93" t="s">
        <v>31</v>
      </c>
      <c r="N93" t="s">
        <v>31</v>
      </c>
      <c r="O93" t="s">
        <v>253</v>
      </c>
      <c r="P93" s="22"/>
      <c r="Q93" t="s">
        <v>231</v>
      </c>
    </row>
    <row r="94" spans="1:24">
      <c r="A94" s="74" t="s">
        <v>76</v>
      </c>
      <c r="B94" s="235">
        <v>9.4461037767365674</v>
      </c>
      <c r="C94" s="235"/>
      <c r="D94" s="22" t="s">
        <v>42</v>
      </c>
      <c r="E94" s="22" t="s">
        <v>40</v>
      </c>
      <c r="F94" s="22" t="s">
        <v>29</v>
      </c>
      <c r="G94" s="204" t="s">
        <v>82</v>
      </c>
      <c r="H94" s="22" t="s">
        <v>33</v>
      </c>
      <c r="I94">
        <v>2</v>
      </c>
      <c r="J94">
        <f t="shared" si="4"/>
        <v>2.2456023577291138</v>
      </c>
      <c r="K94">
        <v>0.28635642126552707</v>
      </c>
      <c r="L94" t="s">
        <v>31</v>
      </c>
      <c r="M94" t="s">
        <v>31</v>
      </c>
      <c r="N94" t="s">
        <v>31</v>
      </c>
      <c r="P94" s="22"/>
      <c r="Q94" t="s">
        <v>231</v>
      </c>
    </row>
    <row r="95" spans="1:24">
      <c r="A95" t="s">
        <v>81</v>
      </c>
      <c r="B95" s="235">
        <v>229.21398502671403</v>
      </c>
      <c r="C95" s="235"/>
      <c r="D95" t="s">
        <v>37</v>
      </c>
      <c r="E95" t="s">
        <v>40</v>
      </c>
      <c r="F95" t="s">
        <v>29</v>
      </c>
      <c r="G95" t="s">
        <v>82</v>
      </c>
      <c r="H95" t="s">
        <v>33</v>
      </c>
      <c r="I95">
        <v>2</v>
      </c>
      <c r="J95">
        <f t="shared" si="4"/>
        <v>5.434655999675102</v>
      </c>
      <c r="K95">
        <v>0.28635642126552702</v>
      </c>
      <c r="L95" t="s">
        <v>31</v>
      </c>
      <c r="M95" t="s">
        <v>31</v>
      </c>
      <c r="N95" t="s">
        <v>31</v>
      </c>
      <c r="P95" s="22"/>
      <c r="Q95" t="s">
        <v>231</v>
      </c>
    </row>
    <row r="96" spans="1:24">
      <c r="A96" t="s">
        <v>77</v>
      </c>
      <c r="B96" s="235">
        <v>4306.3305973302668</v>
      </c>
      <c r="C96" s="235"/>
      <c r="D96" t="s">
        <v>37</v>
      </c>
      <c r="E96" t="s">
        <v>43</v>
      </c>
      <c r="F96" t="s">
        <v>44</v>
      </c>
      <c r="G96" t="s">
        <v>29</v>
      </c>
      <c r="H96" t="s">
        <v>45</v>
      </c>
      <c r="I96">
        <v>2</v>
      </c>
      <c r="J96">
        <f t="shared" si="4"/>
        <v>8.367841450947985</v>
      </c>
      <c r="K96">
        <v>0.28635642126552702</v>
      </c>
      <c r="L96" t="s">
        <v>31</v>
      </c>
      <c r="M96" t="s">
        <v>31</v>
      </c>
      <c r="N96" t="s">
        <v>31</v>
      </c>
      <c r="P96" s="22"/>
      <c r="Q96" t="s">
        <v>231</v>
      </c>
    </row>
    <row r="97" spans="1:24">
      <c r="A97" t="s">
        <v>79</v>
      </c>
      <c r="B97" s="235">
        <v>4.6066548813867299E-2</v>
      </c>
      <c r="C97" s="235"/>
      <c r="D97" t="s">
        <v>37</v>
      </c>
      <c r="E97" t="s">
        <v>43</v>
      </c>
      <c r="F97" t="s">
        <v>44</v>
      </c>
      <c r="G97" t="s">
        <v>29</v>
      </c>
      <c r="H97" t="s">
        <v>45</v>
      </c>
      <c r="I97">
        <v>2</v>
      </c>
      <c r="J97">
        <f t="shared" si="4"/>
        <v>-3.0776682146296319</v>
      </c>
      <c r="K97">
        <v>0.28635642126552702</v>
      </c>
      <c r="L97" t="s">
        <v>31</v>
      </c>
      <c r="M97" t="s">
        <v>31</v>
      </c>
      <c r="N97" t="s">
        <v>31</v>
      </c>
      <c r="P97" s="22"/>
      <c r="Q97" t="s">
        <v>231</v>
      </c>
    </row>
    <row r="98" spans="1:24">
      <c r="A98" t="s">
        <v>80</v>
      </c>
      <c r="B98">
        <v>0.7304838454770386</v>
      </c>
      <c r="D98" t="s">
        <v>37</v>
      </c>
      <c r="E98" t="s">
        <v>43</v>
      </c>
      <c r="F98" t="s">
        <v>44</v>
      </c>
      <c r="G98" t="s">
        <v>29</v>
      </c>
      <c r="H98" t="s">
        <v>45</v>
      </c>
      <c r="I98">
        <v>2</v>
      </c>
      <c r="J98">
        <f t="shared" si="4"/>
        <v>-0.31404816237261124</v>
      </c>
      <c r="K98">
        <v>0.28635642126552702</v>
      </c>
      <c r="L98" t="s">
        <v>31</v>
      </c>
      <c r="M98" t="s">
        <v>31</v>
      </c>
      <c r="N98" t="s">
        <v>31</v>
      </c>
      <c r="P98" s="22"/>
      <c r="Q98" t="s">
        <v>231</v>
      </c>
    </row>
    <row r="99" spans="1:24">
      <c r="A99" t="s">
        <v>78</v>
      </c>
      <c r="B99">
        <v>3.4582816288124669</v>
      </c>
      <c r="D99" t="s">
        <v>37</v>
      </c>
      <c r="E99" t="s">
        <v>43</v>
      </c>
      <c r="F99" t="s">
        <v>44</v>
      </c>
      <c r="G99" t="s">
        <v>29</v>
      </c>
      <c r="H99" t="s">
        <v>45</v>
      </c>
      <c r="I99">
        <v>2</v>
      </c>
      <c r="J99">
        <f t="shared" si="4"/>
        <v>1.2407718266320606</v>
      </c>
      <c r="K99">
        <v>0.28635642126552702</v>
      </c>
      <c r="L99" t="s">
        <v>31</v>
      </c>
      <c r="M99" t="s">
        <v>31</v>
      </c>
      <c r="N99" t="s">
        <v>31</v>
      </c>
      <c r="P99" s="22"/>
      <c r="Q99" t="s">
        <v>231</v>
      </c>
    </row>
    <row r="100" spans="1:24" s="70" customFormat="1">
      <c r="A100" s="224" t="s">
        <v>5</v>
      </c>
      <c r="B100" s="224" t="s">
        <v>240</v>
      </c>
      <c r="C100" s="224"/>
      <c r="D100" s="69"/>
      <c r="Q100" s="70" t="s">
        <v>231</v>
      </c>
      <c r="S100" s="225"/>
      <c r="T100" s="225"/>
      <c r="U100" s="225"/>
      <c r="V100" s="225"/>
      <c r="W100" s="225"/>
      <c r="X100" s="225"/>
    </row>
    <row r="101" spans="1:24">
      <c r="A101" t="s">
        <v>7</v>
      </c>
      <c r="B101" t="s">
        <v>232</v>
      </c>
      <c r="Q101" t="s">
        <v>231</v>
      </c>
    </row>
    <row r="102" spans="1:24">
      <c r="A102" t="s">
        <v>9</v>
      </c>
      <c r="B102" s="226" t="s">
        <v>281</v>
      </c>
      <c r="C102" s="22"/>
      <c r="Q102" t="s">
        <v>231</v>
      </c>
    </row>
    <row r="103" spans="1:24">
      <c r="A103" t="s">
        <v>11</v>
      </c>
      <c r="B103" t="s">
        <v>282</v>
      </c>
      <c r="Q103" t="s">
        <v>231</v>
      </c>
    </row>
    <row r="104" spans="1:24">
      <c r="A104" t="s">
        <v>13</v>
      </c>
      <c r="B104" t="s">
        <v>59</v>
      </c>
      <c r="Q104" t="s">
        <v>231</v>
      </c>
    </row>
    <row r="105" spans="1:24">
      <c r="A105" t="s">
        <v>15</v>
      </c>
      <c r="B105">
        <v>1</v>
      </c>
      <c r="Q105" t="s">
        <v>231</v>
      </c>
    </row>
    <row r="106" spans="1:24">
      <c r="A106" t="s">
        <v>16</v>
      </c>
      <c r="B106" t="s">
        <v>17</v>
      </c>
      <c r="Q106" t="s">
        <v>231</v>
      </c>
    </row>
    <row r="107" spans="1:24">
      <c r="A107" t="s">
        <v>18</v>
      </c>
      <c r="B107" t="s">
        <v>18</v>
      </c>
      <c r="E107" t="s">
        <v>235</v>
      </c>
      <c r="Q107" t="s">
        <v>231</v>
      </c>
    </row>
    <row r="108" spans="1:24">
      <c r="A108" s="131" t="s">
        <v>19</v>
      </c>
      <c r="Q108" t="s">
        <v>231</v>
      </c>
    </row>
    <row r="109" spans="1:24">
      <c r="A109" s="131" t="s">
        <v>20</v>
      </c>
      <c r="B109" s="131" t="s">
        <v>21</v>
      </c>
      <c r="C109" s="131" t="s">
        <v>217</v>
      </c>
      <c r="D109" s="131" t="s">
        <v>18</v>
      </c>
      <c r="E109" s="131" t="s">
        <v>22</v>
      </c>
      <c r="F109" s="131" t="s">
        <v>7</v>
      </c>
      <c r="G109" s="131" t="s">
        <v>13</v>
      </c>
      <c r="H109" s="131" t="s">
        <v>16</v>
      </c>
      <c r="I109" s="131" t="s">
        <v>23</v>
      </c>
      <c r="J109" s="131" t="s">
        <v>24</v>
      </c>
      <c r="K109" s="131" t="s">
        <v>25</v>
      </c>
      <c r="L109" s="131" t="s">
        <v>26</v>
      </c>
      <c r="M109" s="131" t="s">
        <v>27</v>
      </c>
      <c r="N109" s="131" t="s">
        <v>28</v>
      </c>
      <c r="O109" s="131" t="s">
        <v>11</v>
      </c>
      <c r="P109" s="177" t="s">
        <v>236</v>
      </c>
      <c r="Q109" t="s">
        <v>231</v>
      </c>
    </row>
    <row r="110" spans="1:24">
      <c r="A110" t="str">
        <f>B100</f>
        <v>Production of Nacelle, EM</v>
      </c>
      <c r="B110" s="250">
        <v>1</v>
      </c>
      <c r="C110" s="250"/>
      <c r="D110" t="s">
        <v>18</v>
      </c>
      <c r="E110" t="s">
        <v>2</v>
      </c>
      <c r="F110" t="s">
        <v>29</v>
      </c>
      <c r="G110" s="223" t="s">
        <v>59</v>
      </c>
      <c r="H110" t="s">
        <v>30</v>
      </c>
      <c r="I110">
        <v>1</v>
      </c>
      <c r="J110">
        <v>1</v>
      </c>
      <c r="K110" t="s">
        <v>31</v>
      </c>
      <c r="L110" t="s">
        <v>31</v>
      </c>
      <c r="M110" t="s">
        <v>31</v>
      </c>
      <c r="N110" t="s">
        <v>31</v>
      </c>
      <c r="Q110" t="s">
        <v>231</v>
      </c>
    </row>
    <row r="111" spans="1:24">
      <c r="A111" s="241" t="s">
        <v>97</v>
      </c>
      <c r="B111" s="223">
        <f>27.0435533496986*1.5</f>
        <v>40.565330024547897</v>
      </c>
      <c r="C111" s="223"/>
      <c r="D111" s="223" t="s">
        <v>37</v>
      </c>
      <c r="E111" s="223" t="s">
        <v>40</v>
      </c>
      <c r="F111" s="223" t="s">
        <v>29</v>
      </c>
      <c r="G111" s="223" t="s">
        <v>59</v>
      </c>
      <c r="H111" s="223" t="s">
        <v>33</v>
      </c>
      <c r="I111" s="223">
        <v>2</v>
      </c>
      <c r="J111" s="223">
        <f t="shared" ref="J111:J129" si="6">LN(B111)</f>
        <v>3.7029137615109113</v>
      </c>
      <c r="K111" s="223">
        <v>0.30331501776206199</v>
      </c>
      <c r="L111" s="223" t="s">
        <v>31</v>
      </c>
      <c r="M111" s="223" t="s">
        <v>31</v>
      </c>
      <c r="N111" s="223" t="s">
        <v>31</v>
      </c>
      <c r="O111" s="223" t="s">
        <v>257</v>
      </c>
      <c r="P111" s="22" t="s">
        <v>231</v>
      </c>
      <c r="Q111" t="s">
        <v>231</v>
      </c>
    </row>
    <row r="112" spans="1:24">
      <c r="A112" s="241" t="s">
        <v>85</v>
      </c>
      <c r="B112" s="223">
        <f>18.0290355664657*7</f>
        <v>126.20324896525992</v>
      </c>
      <c r="C112" s="223"/>
      <c r="D112" s="223" t="s">
        <v>37</v>
      </c>
      <c r="E112" s="223" t="s">
        <v>40</v>
      </c>
      <c r="F112" s="223" t="s">
        <v>29</v>
      </c>
      <c r="G112" s="223" t="s">
        <v>59</v>
      </c>
      <c r="H112" s="223" t="s">
        <v>33</v>
      </c>
      <c r="I112" s="223">
        <v>2</v>
      </c>
      <c r="J112" s="223">
        <f t="shared" si="6"/>
        <v>4.8378936943498942</v>
      </c>
      <c r="K112" s="223">
        <v>0.30331501776206199</v>
      </c>
      <c r="L112" s="223" t="s">
        <v>31</v>
      </c>
      <c r="M112" s="223" t="s">
        <v>31</v>
      </c>
      <c r="N112" s="223" t="s">
        <v>31</v>
      </c>
      <c r="O112" s="223" t="s">
        <v>257</v>
      </c>
      <c r="P112" s="22" t="s">
        <v>283</v>
      </c>
      <c r="Q112" t="s">
        <v>231</v>
      </c>
    </row>
    <row r="113" spans="1:24">
      <c r="A113" s="253" t="s">
        <v>275</v>
      </c>
      <c r="B113" s="264">
        <f>B111*(1-1/1.5)</f>
        <v>13.521776674849301</v>
      </c>
      <c r="C113" s="264"/>
      <c r="D113" s="255" t="s">
        <v>37</v>
      </c>
      <c r="E113" s="255" t="s">
        <v>40</v>
      </c>
      <c r="F113" s="255" t="s">
        <v>29</v>
      </c>
      <c r="G113" s="255" t="s">
        <v>82</v>
      </c>
      <c r="H113" s="255" t="s">
        <v>33</v>
      </c>
      <c r="I113" s="255">
        <v>2</v>
      </c>
      <c r="J113" s="255">
        <f t="shared" si="6"/>
        <v>2.6043014728428018</v>
      </c>
      <c r="K113" s="255">
        <v>0.30331501776206199</v>
      </c>
      <c r="L113" s="255" t="s">
        <v>31</v>
      </c>
      <c r="M113" s="255" t="s">
        <v>31</v>
      </c>
      <c r="N113" s="255" t="s">
        <v>31</v>
      </c>
      <c r="O113" s="255" t="s">
        <v>260</v>
      </c>
      <c r="P113" s="256" t="s">
        <v>276</v>
      </c>
      <c r="Q113" t="s">
        <v>231</v>
      </c>
    </row>
    <row r="114" spans="1:24">
      <c r="A114" s="242" t="s">
        <v>263</v>
      </c>
      <c r="B114" s="265">
        <f>B112*(1-1/7)</f>
        <v>108.17421339879422</v>
      </c>
      <c r="C114" s="265"/>
      <c r="D114" s="243" t="s">
        <v>37</v>
      </c>
      <c r="E114" s="243" t="s">
        <v>40</v>
      </c>
      <c r="F114" s="243" t="s">
        <v>29</v>
      </c>
      <c r="G114" s="243" t="s">
        <v>82</v>
      </c>
      <c r="H114" s="243" t="s">
        <v>33</v>
      </c>
      <c r="I114" s="243">
        <v>2</v>
      </c>
      <c r="J114" s="243">
        <f t="shared" si="6"/>
        <v>4.6837430145226362</v>
      </c>
      <c r="K114" s="243">
        <v>0.30331501776206199</v>
      </c>
      <c r="L114" s="243" t="s">
        <v>31</v>
      </c>
      <c r="M114" s="243" t="s">
        <v>31</v>
      </c>
      <c r="N114" s="243" t="s">
        <v>31</v>
      </c>
      <c r="O114" s="243" t="s">
        <v>260</v>
      </c>
      <c r="P114" s="244" t="s">
        <v>284</v>
      </c>
      <c r="Q114" t="s">
        <v>231</v>
      </c>
    </row>
    <row r="115" spans="1:24">
      <c r="A115" s="248" t="s">
        <v>265</v>
      </c>
      <c r="B115" s="266">
        <f>B112*(1-1/7)</f>
        <v>108.17421339879422</v>
      </c>
      <c r="C115" s="59" t="s">
        <v>266</v>
      </c>
      <c r="D115" s="222" t="s">
        <v>37</v>
      </c>
      <c r="E115" s="222" t="s">
        <v>40</v>
      </c>
      <c r="F115" s="222" t="s">
        <v>29</v>
      </c>
      <c r="G115" s="222" t="s">
        <v>82</v>
      </c>
      <c r="H115" s="222" t="s">
        <v>33</v>
      </c>
      <c r="I115" s="222">
        <v>2</v>
      </c>
      <c r="J115" s="222">
        <f t="shared" si="6"/>
        <v>4.6837430145226362</v>
      </c>
      <c r="K115" s="222">
        <v>0.30331501776206199</v>
      </c>
      <c r="L115" s="222" t="s">
        <v>31</v>
      </c>
      <c r="M115" s="222" t="s">
        <v>31</v>
      </c>
      <c r="N115" s="222" t="s">
        <v>31</v>
      </c>
      <c r="O115" s="222" t="s">
        <v>260</v>
      </c>
      <c r="P115" s="249" t="s">
        <v>284</v>
      </c>
      <c r="Q115" t="s">
        <v>231</v>
      </c>
    </row>
    <row r="116" spans="1:24">
      <c r="A116" s="245" t="s">
        <v>85</v>
      </c>
      <c r="B116" s="267">
        <f>B112*(1-1/7)</f>
        <v>108.17421339879422</v>
      </c>
      <c r="C116" s="267"/>
      <c r="D116" s="246" t="s">
        <v>37</v>
      </c>
      <c r="E116" s="246" t="s">
        <v>40</v>
      </c>
      <c r="F116" s="246" t="s">
        <v>29</v>
      </c>
      <c r="G116" s="246" t="s">
        <v>59</v>
      </c>
      <c r="H116" s="246" t="s">
        <v>136</v>
      </c>
      <c r="I116" s="246">
        <v>2</v>
      </c>
      <c r="J116" s="246">
        <f t="shared" si="6"/>
        <v>4.6837430145226362</v>
      </c>
      <c r="K116" s="246">
        <v>0.30331501776206199</v>
      </c>
      <c r="L116" s="246" t="s">
        <v>31</v>
      </c>
      <c r="M116" s="246" t="s">
        <v>31</v>
      </c>
      <c r="N116" s="246" t="s">
        <v>31</v>
      </c>
      <c r="O116" s="246" t="s">
        <v>260</v>
      </c>
      <c r="P116" s="247" t="s">
        <v>285</v>
      </c>
      <c r="Q116" t="s">
        <v>231</v>
      </c>
      <c r="S116" s="177" t="s">
        <v>268</v>
      </c>
    </row>
    <row r="117" spans="1:24">
      <c r="A117" t="s">
        <v>269</v>
      </c>
      <c r="B117" s="234">
        <f>S117</f>
        <v>1803.8896829378039</v>
      </c>
      <c r="C117" s="235"/>
      <c r="D117" t="s">
        <v>39</v>
      </c>
      <c r="E117" s="22" t="s">
        <v>40</v>
      </c>
      <c r="F117" s="22" t="s">
        <v>29</v>
      </c>
      <c r="G117" s="22" t="s">
        <v>59</v>
      </c>
      <c r="H117" s="22" t="s">
        <v>33</v>
      </c>
      <c r="I117">
        <v>2</v>
      </c>
      <c r="J117">
        <f t="shared" si="6"/>
        <v>7.4977005473878942</v>
      </c>
      <c r="K117">
        <v>0.28635642126552707</v>
      </c>
      <c r="L117" t="s">
        <v>31</v>
      </c>
      <c r="M117" t="s">
        <v>31</v>
      </c>
      <c r="N117" t="s">
        <v>31</v>
      </c>
      <c r="P117" s="22"/>
      <c r="Q117" t="s">
        <v>231</v>
      </c>
      <c r="S117" s="22">
        <v>1803.8896829378039</v>
      </c>
    </row>
    <row r="118" spans="1:24">
      <c r="A118" s="22" t="s">
        <v>69</v>
      </c>
      <c r="B118" s="236">
        <f>W118</f>
        <v>170.4988011504945</v>
      </c>
      <c r="C118" s="235"/>
      <c r="D118" s="22" t="s">
        <v>42</v>
      </c>
      <c r="E118" s="22" t="s">
        <v>40</v>
      </c>
      <c r="F118" s="22" t="s">
        <v>29</v>
      </c>
      <c r="G118" s="22" t="s">
        <v>249</v>
      </c>
      <c r="H118" s="22" t="s">
        <v>33</v>
      </c>
      <c r="I118">
        <v>2</v>
      </c>
      <c r="J118">
        <f t="shared" si="6"/>
        <v>5.1387282653234525</v>
      </c>
      <c r="K118">
        <v>0.28635642126552707</v>
      </c>
      <c r="L118" t="s">
        <v>31</v>
      </c>
      <c r="M118" t="s">
        <v>31</v>
      </c>
      <c r="N118" t="s">
        <v>31</v>
      </c>
      <c r="P118" s="22"/>
      <c r="Q118" t="s">
        <v>231</v>
      </c>
      <c r="R118" s="22"/>
      <c r="S118" s="227">
        <v>1813.9192522631131</v>
      </c>
      <c r="T118" s="22" t="s">
        <v>248</v>
      </c>
      <c r="U118" s="22">
        <f>S118/0.277778</f>
        <v>6530.1040840639389</v>
      </c>
      <c r="V118" s="22" t="s">
        <v>250</v>
      </c>
      <c r="W118" s="22">
        <f>U118/38.3</f>
        <v>170.4988011504945</v>
      </c>
      <c r="X118" s="22" t="s">
        <v>251</v>
      </c>
    </row>
    <row r="119" spans="1:24">
      <c r="A119" s="59" t="s">
        <v>70</v>
      </c>
      <c r="B119" s="237">
        <f>U119</f>
        <v>814.97349548349325</v>
      </c>
      <c r="C119" s="235"/>
      <c r="D119" s="22" t="s">
        <v>71</v>
      </c>
      <c r="E119" s="22" t="s">
        <v>40</v>
      </c>
      <c r="F119" s="22" t="s">
        <v>29</v>
      </c>
      <c r="G119" s="22" t="s">
        <v>59</v>
      </c>
      <c r="H119" s="22" t="s">
        <v>33</v>
      </c>
      <c r="I119">
        <v>2</v>
      </c>
      <c r="J119">
        <f t="shared" si="6"/>
        <v>6.703155591832898</v>
      </c>
      <c r="K119">
        <v>0.28635642126552707</v>
      </c>
      <c r="L119" t="s">
        <v>31</v>
      </c>
      <c r="M119" t="s">
        <v>31</v>
      </c>
      <c r="N119" t="s">
        <v>31</v>
      </c>
      <c r="P119" s="22"/>
      <c r="Q119" t="s">
        <v>231</v>
      </c>
      <c r="R119" s="59"/>
      <c r="S119" s="227">
        <v>226.38170762841381</v>
      </c>
      <c r="T119" s="22" t="s">
        <v>248</v>
      </c>
      <c r="U119" s="22">
        <f>S119/0.277778</f>
        <v>814.97349548349325</v>
      </c>
      <c r="V119" s="22" t="s">
        <v>250</v>
      </c>
    </row>
    <row r="120" spans="1:24">
      <c r="A120" s="59" t="s">
        <v>252</v>
      </c>
      <c r="B120" s="236">
        <f>W120</f>
        <v>38.570315464931369</v>
      </c>
      <c r="C120" s="235"/>
      <c r="D120" s="22" t="s">
        <v>37</v>
      </c>
      <c r="E120" s="22" t="s">
        <v>40</v>
      </c>
      <c r="F120" s="22" t="s">
        <v>29</v>
      </c>
      <c r="G120" s="22" t="s">
        <v>59</v>
      </c>
      <c r="H120" s="22" t="s">
        <v>33</v>
      </c>
      <c r="I120">
        <v>2</v>
      </c>
      <c r="J120">
        <f t="shared" si="6"/>
        <v>3.6524829512100583</v>
      </c>
      <c r="K120">
        <v>0.28635642126552707</v>
      </c>
      <c r="L120" t="s">
        <v>31</v>
      </c>
      <c r="M120" t="s">
        <v>31</v>
      </c>
      <c r="N120" t="s">
        <v>31</v>
      </c>
      <c r="P120" s="22"/>
      <c r="Q120" t="s">
        <v>231</v>
      </c>
      <c r="R120" s="59"/>
      <c r="S120" s="227">
        <v>479.98653199695326</v>
      </c>
      <c r="T120" s="22" t="s">
        <v>248</v>
      </c>
      <c r="U120" s="22">
        <f>S120/0.277778</f>
        <v>1727.9501328289252</v>
      </c>
      <c r="V120" s="22" t="s">
        <v>250</v>
      </c>
      <c r="W120" s="22">
        <f>U120/44.8</f>
        <v>38.570315464931369</v>
      </c>
      <c r="X120" s="22" t="s">
        <v>241</v>
      </c>
    </row>
    <row r="121" spans="1:24">
      <c r="A121" s="59" t="s">
        <v>73</v>
      </c>
      <c r="B121" s="236">
        <f t="shared" ref="B121" si="7">W121</f>
        <v>76.142791922809792</v>
      </c>
      <c r="C121" s="235"/>
      <c r="D121" s="22" t="s">
        <v>37</v>
      </c>
      <c r="E121" s="22" t="s">
        <v>40</v>
      </c>
      <c r="F121" s="22" t="s">
        <v>29</v>
      </c>
      <c r="G121" s="22" t="s">
        <v>82</v>
      </c>
      <c r="H121" s="22" t="s">
        <v>33</v>
      </c>
      <c r="I121">
        <v>2</v>
      </c>
      <c r="J121">
        <f t="shared" si="6"/>
        <v>4.3326104185616998</v>
      </c>
      <c r="K121">
        <v>0.28635642126552707</v>
      </c>
      <c r="L121" t="s">
        <v>31</v>
      </c>
      <c r="M121" t="s">
        <v>31</v>
      </c>
      <c r="N121" t="s">
        <v>31</v>
      </c>
      <c r="P121" s="22"/>
      <c r="Q121" t="s">
        <v>231</v>
      </c>
      <c r="R121" s="59"/>
      <c r="S121" s="227">
        <v>977.16661140872282</v>
      </c>
      <c r="T121" s="22" t="s">
        <v>248</v>
      </c>
      <c r="U121" s="22">
        <f>S121/0.277778</f>
        <v>3517.7969868338123</v>
      </c>
      <c r="V121" s="22" t="s">
        <v>250</v>
      </c>
      <c r="W121" s="22">
        <f>U121/46.2</f>
        <v>76.142791922809792</v>
      </c>
      <c r="X121" s="22" t="s">
        <v>241</v>
      </c>
    </row>
    <row r="122" spans="1:24" s="84" customFormat="1">
      <c r="A122" s="22" t="s">
        <v>213</v>
      </c>
      <c r="B122" s="236">
        <f>W122</f>
        <v>0.46891455436334478</v>
      </c>
      <c r="C122" s="227"/>
      <c r="D122" s="22" t="s">
        <v>37</v>
      </c>
      <c r="E122" s="22" t="s">
        <v>2</v>
      </c>
      <c r="F122" s="22" t="s">
        <v>214</v>
      </c>
      <c r="G122" s="22" t="s">
        <v>59</v>
      </c>
      <c r="H122" s="22" t="s">
        <v>33</v>
      </c>
      <c r="I122" s="22">
        <v>2</v>
      </c>
      <c r="J122" s="22">
        <f t="shared" si="6"/>
        <v>-0.75733471399243935</v>
      </c>
      <c r="K122">
        <v>0.28635642126552707</v>
      </c>
      <c r="L122" s="22" t="s">
        <v>31</v>
      </c>
      <c r="M122" s="22" t="s">
        <v>31</v>
      </c>
      <c r="N122" s="22" t="s">
        <v>31</v>
      </c>
      <c r="P122" s="22"/>
      <c r="Q122" t="s">
        <v>231</v>
      </c>
      <c r="R122" s="232"/>
      <c r="S122" s="227">
        <v>5.7311824716054129</v>
      </c>
      <c r="T122" s="22" t="s">
        <v>248</v>
      </c>
      <c r="U122" s="22">
        <f>S122/0.277778</f>
        <v>20.632240391987171</v>
      </c>
      <c r="V122" s="22" t="s">
        <v>250</v>
      </c>
      <c r="W122" s="22">
        <f>U122/44</f>
        <v>0.46891455436334478</v>
      </c>
      <c r="X122" s="22" t="s">
        <v>241</v>
      </c>
    </row>
    <row r="123" spans="1:24">
      <c r="A123" t="s">
        <v>75</v>
      </c>
      <c r="B123" s="235">
        <f>4.41099026131493*997.42788</f>
        <v>4399.6446650439957</v>
      </c>
      <c r="C123" s="235"/>
      <c r="D123" t="s">
        <v>37</v>
      </c>
      <c r="E123" t="s">
        <v>40</v>
      </c>
      <c r="F123" t="s">
        <v>29</v>
      </c>
      <c r="G123" t="s">
        <v>59</v>
      </c>
      <c r="H123" t="s">
        <v>33</v>
      </c>
      <c r="I123">
        <v>2</v>
      </c>
      <c r="J123">
        <f t="shared" si="6"/>
        <v>8.3892790587007084</v>
      </c>
      <c r="K123">
        <v>0.28635642126552707</v>
      </c>
      <c r="L123" t="s">
        <v>31</v>
      </c>
      <c r="M123" t="s">
        <v>31</v>
      </c>
      <c r="N123" t="s">
        <v>31</v>
      </c>
      <c r="O123" t="s">
        <v>253</v>
      </c>
      <c r="P123" s="22"/>
      <c r="Q123" t="s">
        <v>231</v>
      </c>
    </row>
    <row r="124" spans="1:24">
      <c r="A124" s="74" t="s">
        <v>76</v>
      </c>
      <c r="B124" s="235">
        <v>4.1131951544990741</v>
      </c>
      <c r="C124" s="235"/>
      <c r="D124" s="22" t="s">
        <v>42</v>
      </c>
      <c r="E124" s="22" t="s">
        <v>40</v>
      </c>
      <c r="F124" s="22" t="s">
        <v>29</v>
      </c>
      <c r="G124" s="204" t="s">
        <v>82</v>
      </c>
      <c r="H124" s="22" t="s">
        <v>33</v>
      </c>
      <c r="I124">
        <v>2</v>
      </c>
      <c r="J124">
        <f t="shared" si="6"/>
        <v>1.4142001363354144</v>
      </c>
      <c r="K124">
        <v>0.28635642126552707</v>
      </c>
      <c r="L124" t="s">
        <v>31</v>
      </c>
      <c r="M124" t="s">
        <v>31</v>
      </c>
      <c r="N124" t="s">
        <v>31</v>
      </c>
      <c r="P124" s="22"/>
      <c r="Q124" t="s">
        <v>231</v>
      </c>
    </row>
    <row r="125" spans="1:24">
      <c r="A125" t="s">
        <v>81</v>
      </c>
      <c r="B125" s="235">
        <v>99.80854274300826</v>
      </c>
      <c r="C125" s="235"/>
      <c r="D125" t="s">
        <v>37</v>
      </c>
      <c r="E125" t="s">
        <v>40</v>
      </c>
      <c r="F125" t="s">
        <v>29</v>
      </c>
      <c r="G125" t="s">
        <v>82</v>
      </c>
      <c r="H125" t="s">
        <v>33</v>
      </c>
      <c r="I125">
        <v>2</v>
      </c>
      <c r="J125">
        <f t="shared" si="6"/>
        <v>4.6032537782814025</v>
      </c>
      <c r="K125">
        <v>0.28635642126552707</v>
      </c>
      <c r="L125" t="s">
        <v>31</v>
      </c>
      <c r="M125" t="s">
        <v>31</v>
      </c>
      <c r="N125" t="s">
        <v>31</v>
      </c>
      <c r="P125" s="22"/>
      <c r="Q125" t="s">
        <v>231</v>
      </c>
    </row>
    <row r="126" spans="1:24">
      <c r="A126" t="s">
        <v>77</v>
      </c>
      <c r="B126" s="235">
        <v>1875.1411762204202</v>
      </c>
      <c r="C126" s="235"/>
      <c r="D126" t="s">
        <v>37</v>
      </c>
      <c r="E126" t="s">
        <v>43</v>
      </c>
      <c r="F126" t="s">
        <v>44</v>
      </c>
      <c r="G126" t="s">
        <v>29</v>
      </c>
      <c r="H126" t="s">
        <v>45</v>
      </c>
      <c r="I126">
        <v>2</v>
      </c>
      <c r="J126">
        <f t="shared" si="6"/>
        <v>7.5364392295542855</v>
      </c>
      <c r="K126">
        <v>0.28635642126552707</v>
      </c>
      <c r="L126" t="s">
        <v>31</v>
      </c>
      <c r="M126" t="s">
        <v>31</v>
      </c>
      <c r="N126" t="s">
        <v>31</v>
      </c>
      <c r="P126" s="22"/>
      <c r="Q126" t="s">
        <v>231</v>
      </c>
    </row>
    <row r="127" spans="1:24">
      <c r="A127" t="s">
        <v>79</v>
      </c>
      <c r="B127" s="235">
        <v>2.0059138650618945E-2</v>
      </c>
      <c r="C127" s="235"/>
      <c r="D127" t="s">
        <v>37</v>
      </c>
      <c r="E127" t="s">
        <v>43</v>
      </c>
      <c r="F127" t="s">
        <v>44</v>
      </c>
      <c r="G127" t="s">
        <v>29</v>
      </c>
      <c r="H127" t="s">
        <v>45</v>
      </c>
      <c r="I127">
        <v>2</v>
      </c>
      <c r="J127">
        <f t="shared" si="6"/>
        <v>-3.9090704360233315</v>
      </c>
      <c r="K127">
        <v>0.28635642126552707</v>
      </c>
      <c r="L127" t="s">
        <v>31</v>
      </c>
      <c r="M127" t="s">
        <v>31</v>
      </c>
      <c r="N127" t="s">
        <v>31</v>
      </c>
      <c r="P127" s="22"/>
      <c r="Q127" t="s">
        <v>231</v>
      </c>
    </row>
    <row r="128" spans="1:24">
      <c r="A128" t="s">
        <v>80</v>
      </c>
      <c r="B128">
        <v>0.31808062717410041</v>
      </c>
      <c r="D128" t="s">
        <v>37</v>
      </c>
      <c r="E128" t="s">
        <v>43</v>
      </c>
      <c r="F128" t="s">
        <v>44</v>
      </c>
      <c r="G128" t="s">
        <v>29</v>
      </c>
      <c r="H128" t="s">
        <v>45</v>
      </c>
      <c r="I128">
        <v>2</v>
      </c>
      <c r="J128">
        <f t="shared" si="6"/>
        <v>-1.1454503837663106</v>
      </c>
      <c r="K128">
        <v>0.28635642126552707</v>
      </c>
      <c r="L128" t="s">
        <v>31</v>
      </c>
      <c r="M128" t="s">
        <v>31</v>
      </c>
      <c r="N128" t="s">
        <v>31</v>
      </c>
      <c r="P128" s="22"/>
      <c r="Q128" t="s">
        <v>231</v>
      </c>
    </row>
    <row r="129" spans="1:17">
      <c r="A129" t="s">
        <v>78</v>
      </c>
      <c r="B129">
        <v>1.5058681944143222</v>
      </c>
      <c r="D129" t="s">
        <v>37</v>
      </c>
      <c r="E129" t="s">
        <v>43</v>
      </c>
      <c r="F129" t="s">
        <v>44</v>
      </c>
      <c r="G129" t="s">
        <v>29</v>
      </c>
      <c r="H129" t="s">
        <v>45</v>
      </c>
      <c r="I129">
        <v>2</v>
      </c>
      <c r="J129">
        <f t="shared" si="6"/>
        <v>0.40936960523836108</v>
      </c>
      <c r="K129">
        <v>0.28635642126552707</v>
      </c>
      <c r="L129" t="s">
        <v>31</v>
      </c>
      <c r="M129" t="s">
        <v>31</v>
      </c>
      <c r="N129" t="s">
        <v>31</v>
      </c>
      <c r="P129" s="22"/>
      <c r="Q129" t="s">
        <v>231</v>
      </c>
    </row>
  </sheetData>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FC012B-D11A-464B-A816-788BC2BB1DE1}"/>
</file>

<file path=customXml/itemProps2.xml><?xml version="1.0" encoding="utf-8"?>
<ds:datastoreItem xmlns:ds="http://schemas.openxmlformats.org/officeDocument/2006/customXml" ds:itemID="{36F7B80F-DF29-4B25-8929-231CCF26BB64}"/>
</file>

<file path=customXml/itemProps3.xml><?xml version="1.0" encoding="utf-8"?>
<ds:datastoreItem xmlns:ds="http://schemas.openxmlformats.org/officeDocument/2006/customXml" ds:itemID="{5643EED0-03B2-4AA9-B099-6A8C1A5D7E4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2023-06-26T11:22:53Z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